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C:\Users\cking\Downloads\"/>
    </mc:Choice>
  </mc:AlternateContent>
  <xr:revisionPtr revIDLastSave="0" documentId="8_{8329B150-5B4E-4A6A-8DD6-76A4E58C90FF}" xr6:coauthVersionLast="47" xr6:coauthVersionMax="47" xr10:uidLastSave="{00000000-0000-0000-0000-000000000000}"/>
  <bookViews>
    <workbookView xWindow="2304" yWindow="2304" windowWidth="17280" windowHeight="10008" tabRatio="642" xr2:uid="{00000000-000D-0000-FFFF-FFFF00000000}"/>
  </bookViews>
  <sheets>
    <sheet name="Property Model" sheetId="1" r:id="rId1"/>
    <sheet name="Unit Mix" sheetId="29" r:id="rId2"/>
    <sheet name="Utility Allowances" sheetId="32" r:id="rId3"/>
    <sheet name="Rent Limits" sheetId="30" r:id="rId4"/>
    <sheet name="First Mortgage" sheetId="28" r:id="rId5"/>
  </sheets>
  <definedNames>
    <definedName name="_xlnm.Print_Area" localSheetId="0">'Property Model'!$A$1:$O$140</definedName>
    <definedName name="_xlnm.Print_Titles" localSheetId="0">'Property Model'!$1:$2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10" i="1" l="1"/>
  <c r="E107" i="1"/>
  <c r="G134" i="1"/>
  <c r="E113" i="1" l="1"/>
  <c r="BA3" i="29" l="1"/>
  <c r="AM3" i="29"/>
  <c r="Y3" i="29"/>
  <c r="M7" i="29"/>
  <c r="N7" i="29"/>
  <c r="M8" i="29"/>
  <c r="N8" i="29"/>
  <c r="M9" i="29"/>
  <c r="N9" i="29"/>
  <c r="M10" i="29"/>
  <c r="N10" i="29"/>
  <c r="M11" i="29"/>
  <c r="N11" i="29"/>
  <c r="M12" i="29"/>
  <c r="N12" i="29"/>
  <c r="M13" i="29"/>
  <c r="N13" i="29"/>
  <c r="M14" i="29"/>
  <c r="N14" i="29"/>
  <c r="M15" i="29"/>
  <c r="N15" i="29"/>
  <c r="N6" i="29"/>
  <c r="M6" i="29"/>
  <c r="AP17" i="29"/>
  <c r="O17" i="29"/>
  <c r="P17" i="29"/>
  <c r="Q17" i="29"/>
  <c r="R17" i="29"/>
  <c r="S17" i="29"/>
  <c r="T17" i="29"/>
  <c r="U17" i="29"/>
  <c r="V17" i="29"/>
  <c r="W17" i="29"/>
  <c r="E18" i="29"/>
  <c r="D18" i="29"/>
  <c r="C18" i="29"/>
  <c r="E28" i="29"/>
  <c r="E29" i="29"/>
  <c r="E30" i="29"/>
  <c r="E27" i="29"/>
  <c r="K25" i="1" l="1"/>
  <c r="K24" i="1"/>
  <c r="D20" i="29" l="1"/>
  <c r="E114" i="1" s="1"/>
  <c r="M15" i="32"/>
  <c r="M14" i="32"/>
  <c r="M13" i="32"/>
  <c r="M12" i="32"/>
  <c r="M11" i="32"/>
  <c r="M10" i="32"/>
  <c r="M9" i="32"/>
  <c r="M8" i="32"/>
  <c r="M7" i="32"/>
  <c r="M6" i="32"/>
  <c r="A3" i="32"/>
  <c r="D13" i="28" l="1"/>
  <c r="G133" i="1"/>
  <c r="H133" i="1" s="1"/>
  <c r="I133" i="1" s="1"/>
  <c r="J133" i="1" s="1"/>
  <c r="K133" i="1" s="1"/>
  <c r="L133" i="1" s="1"/>
  <c r="M133" i="1" s="1"/>
  <c r="N133" i="1" s="1"/>
  <c r="O133" i="1" s="1"/>
  <c r="E119" i="1"/>
  <c r="K3" i="29"/>
  <c r="A3" i="29"/>
  <c r="C17" i="29"/>
  <c r="C16" i="29" s="1"/>
  <c r="K7" i="29"/>
  <c r="L7" i="29"/>
  <c r="O7" i="29"/>
  <c r="P7" i="29" s="1"/>
  <c r="Q7" i="29" s="1"/>
  <c r="R7" i="29" s="1"/>
  <c r="S7" i="29" s="1"/>
  <c r="T7" i="29" s="1"/>
  <c r="U7" i="29" s="1"/>
  <c r="V7" i="29" s="1"/>
  <c r="W7" i="29" s="1"/>
  <c r="K8" i="29"/>
  <c r="L8" i="29"/>
  <c r="O8" i="29"/>
  <c r="P8" i="29" s="1"/>
  <c r="Q8" i="29" s="1"/>
  <c r="R8" i="29" s="1"/>
  <c r="S8" i="29" s="1"/>
  <c r="T8" i="29" s="1"/>
  <c r="U8" i="29" s="1"/>
  <c r="V8" i="29" s="1"/>
  <c r="W8" i="29" s="1"/>
  <c r="K9" i="29"/>
  <c r="L9" i="29"/>
  <c r="O9" i="29"/>
  <c r="P9" i="29" s="1"/>
  <c r="Q9" i="29" s="1"/>
  <c r="R9" i="29" s="1"/>
  <c r="S9" i="29" s="1"/>
  <c r="T9" i="29" s="1"/>
  <c r="U9" i="29" s="1"/>
  <c r="V9" i="29" s="1"/>
  <c r="W9" i="29" s="1"/>
  <c r="K10" i="29"/>
  <c r="L10" i="29"/>
  <c r="O10" i="29"/>
  <c r="P10" i="29" s="1"/>
  <c r="Q10" i="29" s="1"/>
  <c r="R10" i="29" s="1"/>
  <c r="S10" i="29" s="1"/>
  <c r="T10" i="29" s="1"/>
  <c r="U10" i="29" s="1"/>
  <c r="V10" i="29" s="1"/>
  <c r="W10" i="29" s="1"/>
  <c r="K11" i="29"/>
  <c r="L11" i="29"/>
  <c r="O11" i="29"/>
  <c r="P11" i="29" s="1"/>
  <c r="Q11" i="29" s="1"/>
  <c r="R11" i="29" s="1"/>
  <c r="S11" i="29" s="1"/>
  <c r="T11" i="29" s="1"/>
  <c r="U11" i="29" s="1"/>
  <c r="V11" i="29" s="1"/>
  <c r="W11" i="29" s="1"/>
  <c r="K12" i="29"/>
  <c r="L12" i="29"/>
  <c r="O12" i="29"/>
  <c r="P12" i="29" s="1"/>
  <c r="Q12" i="29" s="1"/>
  <c r="R12" i="29" s="1"/>
  <c r="S12" i="29" s="1"/>
  <c r="T12" i="29" s="1"/>
  <c r="U12" i="29" s="1"/>
  <c r="V12" i="29" s="1"/>
  <c r="W12" i="29" s="1"/>
  <c r="K13" i="29"/>
  <c r="L13" i="29"/>
  <c r="O13" i="29"/>
  <c r="P13" i="29" s="1"/>
  <c r="Q13" i="29" s="1"/>
  <c r="R13" i="29" s="1"/>
  <c r="S13" i="29" s="1"/>
  <c r="T13" i="29" s="1"/>
  <c r="U13" i="29" s="1"/>
  <c r="V13" i="29" s="1"/>
  <c r="W13" i="29" s="1"/>
  <c r="K14" i="29"/>
  <c r="L14" i="29"/>
  <c r="O14" i="29"/>
  <c r="P14" i="29" s="1"/>
  <c r="Q14" i="29" s="1"/>
  <c r="R14" i="29" s="1"/>
  <c r="S14" i="29" s="1"/>
  <c r="T14" i="29" s="1"/>
  <c r="U14" i="29" s="1"/>
  <c r="V14" i="29" s="1"/>
  <c r="W14" i="29" s="1"/>
  <c r="K15" i="29"/>
  <c r="L15" i="29"/>
  <c r="O15" i="29"/>
  <c r="P15" i="29" s="1"/>
  <c r="Q15" i="29" s="1"/>
  <c r="R15" i="29" s="1"/>
  <c r="S15" i="29" s="1"/>
  <c r="T15" i="29" s="1"/>
  <c r="U15" i="29" s="1"/>
  <c r="V15" i="29" s="1"/>
  <c r="W15" i="29" s="1"/>
  <c r="O6" i="29"/>
  <c r="P6" i="29" s="1"/>
  <c r="Q6" i="29" s="1"/>
  <c r="R6" i="29" s="1"/>
  <c r="S6" i="29" s="1"/>
  <c r="T6" i="29" s="1"/>
  <c r="U6" i="29" s="1"/>
  <c r="V6" i="29" s="1"/>
  <c r="W6" i="29" s="1"/>
  <c r="L6" i="29"/>
  <c r="K6" i="29"/>
  <c r="H7" i="29" a="1"/>
  <c r="H7" i="29" s="1"/>
  <c r="AA7" i="29" s="1"/>
  <c r="AB7" i="29" s="1"/>
  <c r="AC7" i="29" s="1"/>
  <c r="AD7" i="29" s="1"/>
  <c r="AE7" i="29" s="1"/>
  <c r="AF7" i="29" s="1"/>
  <c r="AG7" i="29" s="1"/>
  <c r="AH7" i="29" s="1"/>
  <c r="AI7" i="29" s="1"/>
  <c r="AJ7" i="29" s="1"/>
  <c r="AK7" i="29" s="1"/>
  <c r="H8" i="29" a="1"/>
  <c r="H8" i="29" s="1"/>
  <c r="AA8" i="29" s="1"/>
  <c r="H9" i="29" a="1"/>
  <c r="H9" i="29" s="1"/>
  <c r="AA9" i="29" s="1"/>
  <c r="AB9" i="29" s="1"/>
  <c r="AC9" i="29" s="1"/>
  <c r="AD9" i="29" s="1"/>
  <c r="AE9" i="29" s="1"/>
  <c r="AF9" i="29" s="1"/>
  <c r="AG9" i="29" s="1"/>
  <c r="AH9" i="29" s="1"/>
  <c r="AI9" i="29" s="1"/>
  <c r="AJ9" i="29" s="1"/>
  <c r="AK9" i="29" s="1"/>
  <c r="H10" i="29" a="1"/>
  <c r="H10" i="29" s="1"/>
  <c r="AA10" i="29" s="1"/>
  <c r="AB10" i="29" s="1"/>
  <c r="AC10" i="29" s="1"/>
  <c r="AD10" i="29" s="1"/>
  <c r="AE10" i="29" s="1"/>
  <c r="AF10" i="29" s="1"/>
  <c r="AG10" i="29" s="1"/>
  <c r="AH10" i="29" s="1"/>
  <c r="AI10" i="29" s="1"/>
  <c r="AJ10" i="29" s="1"/>
  <c r="AK10" i="29" s="1"/>
  <c r="H11" i="29" a="1"/>
  <c r="H11" i="29" s="1"/>
  <c r="AA11" i="29" s="1"/>
  <c r="AB11" i="29" s="1"/>
  <c r="AC11" i="29" s="1"/>
  <c r="AD11" i="29" s="1"/>
  <c r="AE11" i="29" s="1"/>
  <c r="AF11" i="29" s="1"/>
  <c r="AG11" i="29" s="1"/>
  <c r="AH11" i="29" s="1"/>
  <c r="AI11" i="29" s="1"/>
  <c r="AJ11" i="29" s="1"/>
  <c r="AK11" i="29" s="1"/>
  <c r="H12" i="29" a="1"/>
  <c r="H12" i="29" s="1"/>
  <c r="AA12" i="29" s="1"/>
  <c r="AB12" i="29" s="1"/>
  <c r="AC12" i="29" s="1"/>
  <c r="AD12" i="29" s="1"/>
  <c r="AE12" i="29" s="1"/>
  <c r="AF12" i="29" s="1"/>
  <c r="AG12" i="29" s="1"/>
  <c r="AH12" i="29" s="1"/>
  <c r="AI12" i="29" s="1"/>
  <c r="AJ12" i="29" s="1"/>
  <c r="AK12" i="29" s="1"/>
  <c r="H13" i="29" a="1"/>
  <c r="H13" i="29" s="1"/>
  <c r="AA13" i="29" s="1"/>
  <c r="AB13" i="29" s="1"/>
  <c r="AC13" i="29" s="1"/>
  <c r="AD13" i="29" s="1"/>
  <c r="AE13" i="29" s="1"/>
  <c r="AF13" i="29" s="1"/>
  <c r="AG13" i="29" s="1"/>
  <c r="AH13" i="29" s="1"/>
  <c r="AI13" i="29" s="1"/>
  <c r="AJ13" i="29" s="1"/>
  <c r="AK13" i="29" s="1"/>
  <c r="H14" i="29" a="1"/>
  <c r="H14" i="29" s="1"/>
  <c r="AA14" i="29" s="1"/>
  <c r="AB14" i="29" s="1"/>
  <c r="AC14" i="29" s="1"/>
  <c r="AD14" i="29" s="1"/>
  <c r="AE14" i="29" s="1"/>
  <c r="AF14" i="29" s="1"/>
  <c r="AG14" i="29" s="1"/>
  <c r="AH14" i="29" s="1"/>
  <c r="AI14" i="29" s="1"/>
  <c r="AJ14" i="29" s="1"/>
  <c r="AK14" i="29" s="1"/>
  <c r="H15" i="29" a="1"/>
  <c r="H15" i="29" s="1"/>
  <c r="AA15" i="29" s="1"/>
  <c r="AB15" i="29" s="1"/>
  <c r="AC15" i="29" s="1"/>
  <c r="AD15" i="29" s="1"/>
  <c r="AE15" i="29" s="1"/>
  <c r="AF15" i="29" s="1"/>
  <c r="AG15" i="29" s="1"/>
  <c r="AH15" i="29" s="1"/>
  <c r="AI15" i="29" s="1"/>
  <c r="AJ15" i="29" s="1"/>
  <c r="AK15" i="29" s="1"/>
  <c r="H6" i="29" a="1"/>
  <c r="H6" i="29" s="1"/>
  <c r="AA6" i="29" s="1"/>
  <c r="AB6" i="29" s="1"/>
  <c r="AC6" i="29" s="1"/>
  <c r="AD6" i="29" s="1"/>
  <c r="AE6" i="29" s="1"/>
  <c r="AF6" i="29" s="1"/>
  <c r="AG6" i="29" s="1"/>
  <c r="AH6" i="29" s="1"/>
  <c r="AI6" i="29" s="1"/>
  <c r="AJ6" i="29" s="1"/>
  <c r="AK6" i="29" s="1"/>
  <c r="G131" i="1"/>
  <c r="H131" i="1" s="1"/>
  <c r="I131" i="1" s="1"/>
  <c r="J131" i="1" s="1"/>
  <c r="K131" i="1" s="1"/>
  <c r="L131" i="1" s="1"/>
  <c r="M131" i="1" s="1"/>
  <c r="N131" i="1" s="1"/>
  <c r="O131" i="1" s="1"/>
  <c r="G132" i="1"/>
  <c r="H132" i="1" s="1"/>
  <c r="I132" i="1" s="1"/>
  <c r="J132" i="1" s="1"/>
  <c r="K132" i="1" s="1"/>
  <c r="L132" i="1" s="1"/>
  <c r="M132" i="1" s="1"/>
  <c r="N132" i="1" s="1"/>
  <c r="O132" i="1" s="1"/>
  <c r="H134" i="1"/>
  <c r="I134" i="1" s="1"/>
  <c r="J134" i="1" s="1"/>
  <c r="K134" i="1" s="1"/>
  <c r="L134" i="1" s="1"/>
  <c r="M134" i="1" s="1"/>
  <c r="N134" i="1" s="1"/>
  <c r="O134" i="1" s="1"/>
  <c r="E20" i="29"/>
  <c r="C20" i="29"/>
  <c r="A14" i="32" l="1"/>
  <c r="AM14" i="29"/>
  <c r="BA14" i="29"/>
  <c r="Y14" i="29"/>
  <c r="BB8" i="29"/>
  <c r="AN8" i="29"/>
  <c r="Z8" i="29"/>
  <c r="Z13" i="29"/>
  <c r="AN13" i="29"/>
  <c r="BB13" i="29"/>
  <c r="A13" i="32"/>
  <c r="AM13" i="29"/>
  <c r="Y13" i="29"/>
  <c r="BA13" i="29"/>
  <c r="A9" i="32"/>
  <c r="BA9" i="29"/>
  <c r="AM9" i="29"/>
  <c r="Y9" i="29"/>
  <c r="A7" i="32"/>
  <c r="BA7" i="29"/>
  <c r="AM7" i="29"/>
  <c r="Y7" i="29"/>
  <c r="Z9" i="29"/>
  <c r="AN9" i="29"/>
  <c r="BB9" i="29"/>
  <c r="AN14" i="29"/>
  <c r="Z14" i="29"/>
  <c r="BB14" i="29"/>
  <c r="BB7" i="29"/>
  <c r="AN7" i="29"/>
  <c r="Z7" i="29"/>
  <c r="AN6" i="29"/>
  <c r="BB6" i="29"/>
  <c r="Z6" i="29"/>
  <c r="A11" i="32"/>
  <c r="AM11" i="29"/>
  <c r="Y11" i="29"/>
  <c r="BA11" i="29"/>
  <c r="A12" i="32"/>
  <c r="BA12" i="29"/>
  <c r="Y12" i="29"/>
  <c r="AM12" i="29"/>
  <c r="A8" i="32"/>
  <c r="F12" i="29" s="1"/>
  <c r="AO12" i="29" s="1"/>
  <c r="BA8" i="29"/>
  <c r="AM8" i="29"/>
  <c r="Y8" i="29"/>
  <c r="AN12" i="29"/>
  <c r="Z12" i="29"/>
  <c r="BB12" i="29"/>
  <c r="AN10" i="29"/>
  <c r="Z10" i="29"/>
  <c r="BB10" i="29"/>
  <c r="A6" i="32"/>
  <c r="AM6" i="29"/>
  <c r="BA6" i="29"/>
  <c r="Y6" i="29"/>
  <c r="BB15" i="29"/>
  <c r="Z15" i="29"/>
  <c r="AN15" i="29"/>
  <c r="A10" i="32"/>
  <c r="Y10" i="29"/>
  <c r="AM10" i="29"/>
  <c r="BA10" i="29"/>
  <c r="Z11" i="29"/>
  <c r="AN11" i="29"/>
  <c r="BB11" i="29"/>
  <c r="A15" i="32"/>
  <c r="AM15" i="29"/>
  <c r="Y15" i="29"/>
  <c r="BA15" i="29"/>
  <c r="D16" i="29"/>
  <c r="E16" i="29"/>
  <c r="F107" i="1" s="1"/>
  <c r="AB8" i="29"/>
  <c r="E115" i="1"/>
  <c r="E116" i="1" s="1"/>
  <c r="F114" i="1"/>
  <c r="G117" i="1"/>
  <c r="F118" i="1"/>
  <c r="F119" i="1" s="1"/>
  <c r="E10" i="1"/>
  <c r="F13" i="29" l="1"/>
  <c r="F7" i="29"/>
  <c r="AO7" i="29" s="1"/>
  <c r="F9" i="29"/>
  <c r="AO9" i="29" s="1"/>
  <c r="BC9" i="29" s="1"/>
  <c r="F10" i="29"/>
  <c r="AO10" i="29" s="1"/>
  <c r="F6" i="29"/>
  <c r="AO6" i="29" s="1"/>
  <c r="BC6" i="29" s="1"/>
  <c r="F14" i="29"/>
  <c r="AO14" i="29" s="1"/>
  <c r="BC14" i="29" s="1"/>
  <c r="F15" i="29"/>
  <c r="AO15" i="29" s="1"/>
  <c r="BC15" i="29" s="1"/>
  <c r="F8" i="29"/>
  <c r="AO8" i="29" s="1"/>
  <c r="BC8" i="29" s="1"/>
  <c r="F11" i="29"/>
  <c r="AO11" i="29" s="1"/>
  <c r="BC11" i="29" s="1"/>
  <c r="AO13" i="29"/>
  <c r="BC13" i="29" s="1"/>
  <c r="AC8" i="29"/>
  <c r="AD8" i="29" s="1"/>
  <c r="AE8" i="29" s="1"/>
  <c r="AF8" i="29" s="1"/>
  <c r="AG8" i="29" s="1"/>
  <c r="AH8" i="29" s="1"/>
  <c r="AI8" i="29" s="1"/>
  <c r="AJ8" i="29" s="1"/>
  <c r="AK8" i="29" s="1"/>
  <c r="BC7" i="29"/>
  <c r="BC10" i="29"/>
  <c r="BC12" i="29"/>
  <c r="D17" i="29"/>
  <c r="E109" i="1" s="1"/>
  <c r="E17" i="29"/>
  <c r="F109" i="1" s="1"/>
  <c r="G109" i="1" s="1"/>
  <c r="H109" i="1" s="1"/>
  <c r="I109" i="1" s="1"/>
  <c r="J109" i="1" s="1"/>
  <c r="K109" i="1" s="1"/>
  <c r="L109" i="1" s="1"/>
  <c r="M109" i="1" s="1"/>
  <c r="N109" i="1" s="1"/>
  <c r="O109" i="1" s="1"/>
  <c r="H117" i="1"/>
  <c r="G118" i="1"/>
  <c r="G119" i="1" s="1"/>
  <c r="G114" i="1"/>
  <c r="F115" i="1"/>
  <c r="F116" i="1" s="1"/>
  <c r="E9" i="1"/>
  <c r="AP8" i="29" l="1"/>
  <c r="AQ8" i="29" s="1"/>
  <c r="AR8" i="29" s="1"/>
  <c r="AS8" i="29" s="1"/>
  <c r="AT8" i="29" s="1"/>
  <c r="AU8" i="29" s="1"/>
  <c r="AV8" i="29" s="1"/>
  <c r="AW8" i="29" s="1"/>
  <c r="AX8" i="29" s="1"/>
  <c r="AY8" i="29" s="1"/>
  <c r="BD8" i="29"/>
  <c r="AP13" i="29"/>
  <c r="AP14" i="29"/>
  <c r="AQ14" i="29" s="1"/>
  <c r="F108" i="1"/>
  <c r="BE8" i="29"/>
  <c r="AQ13" i="29"/>
  <c r="BD13" i="29"/>
  <c r="BF8" i="29"/>
  <c r="AP15" i="29"/>
  <c r="AP12" i="29"/>
  <c r="AP9" i="29"/>
  <c r="AP7" i="29"/>
  <c r="AP6" i="29"/>
  <c r="AP10" i="29"/>
  <c r="AP11" i="29"/>
  <c r="F106" i="1"/>
  <c r="N17" i="29" s="1"/>
  <c r="E11" i="1"/>
  <c r="E121" i="1"/>
  <c r="H114" i="1"/>
  <c r="G115" i="1"/>
  <c r="G116" i="1" s="1"/>
  <c r="I117" i="1"/>
  <c r="H118" i="1"/>
  <c r="H119" i="1" s="1"/>
  <c r="BD14" i="29" l="1"/>
  <c r="D135" i="1"/>
  <c r="M9" i="1"/>
  <c r="AQ9" i="29"/>
  <c r="BD9" i="29"/>
  <c r="AQ12" i="29"/>
  <c r="BD12" i="29"/>
  <c r="AQ15" i="29"/>
  <c r="BD15" i="29"/>
  <c r="AQ11" i="29"/>
  <c r="BD11" i="29"/>
  <c r="AQ10" i="29"/>
  <c r="BD10" i="29"/>
  <c r="AR14" i="29"/>
  <c r="BE14" i="29"/>
  <c r="AQ6" i="29"/>
  <c r="BD6" i="29"/>
  <c r="AQ7" i="29"/>
  <c r="BD7" i="29"/>
  <c r="AR13" i="29"/>
  <c r="BE13" i="29"/>
  <c r="BG8" i="29"/>
  <c r="M19" i="1"/>
  <c r="D128" i="1"/>
  <c r="D124" i="1"/>
  <c r="D132" i="1"/>
  <c r="E13" i="1"/>
  <c r="D125" i="1"/>
  <c r="M20" i="1"/>
  <c r="D129" i="1"/>
  <c r="D134" i="1"/>
  <c r="D136" i="1"/>
  <c r="E15" i="1"/>
  <c r="M10" i="1"/>
  <c r="D131" i="1"/>
  <c r="D133" i="1"/>
  <c r="D126" i="1"/>
  <c r="D130" i="1"/>
  <c r="E120" i="1"/>
  <c r="J117" i="1"/>
  <c r="I118" i="1"/>
  <c r="I119" i="1" s="1"/>
  <c r="I114" i="1"/>
  <c r="H115" i="1"/>
  <c r="H116" i="1" s="1"/>
  <c r="D127" i="1" l="1"/>
  <c r="E127" i="1"/>
  <c r="AR7" i="29"/>
  <c r="BE7" i="29"/>
  <c r="AR10" i="29"/>
  <c r="BE10" i="29"/>
  <c r="AR12" i="29"/>
  <c r="BE12" i="29"/>
  <c r="AS14" i="29"/>
  <c r="BF14" i="29"/>
  <c r="AR11" i="29"/>
  <c r="BE11" i="29"/>
  <c r="AR6" i="29"/>
  <c r="BE6" i="29"/>
  <c r="AR15" i="29"/>
  <c r="BE15" i="29"/>
  <c r="AS13" i="29"/>
  <c r="BF13" i="29"/>
  <c r="AR9" i="29"/>
  <c r="BE9" i="29"/>
  <c r="BH8" i="29"/>
  <c r="J118" i="1"/>
  <c r="J119" i="1"/>
  <c r="K117" i="1"/>
  <c r="J114" i="1"/>
  <c r="I115" i="1"/>
  <c r="I116" i="1" s="1"/>
  <c r="AS15" i="29" l="1"/>
  <c r="BF15" i="29"/>
  <c r="AS10" i="29"/>
  <c r="BF10" i="29"/>
  <c r="AT13" i="29"/>
  <c r="BG13" i="29"/>
  <c r="AS6" i="29"/>
  <c r="BF6" i="29"/>
  <c r="AS11" i="29"/>
  <c r="BF11" i="29"/>
  <c r="AT14" i="29"/>
  <c r="BG14" i="29"/>
  <c r="AS12" i="29"/>
  <c r="BF12" i="29"/>
  <c r="AS9" i="29"/>
  <c r="BF9" i="29"/>
  <c r="AS7" i="29"/>
  <c r="BF7" i="29"/>
  <c r="BI8" i="29"/>
  <c r="K114" i="1"/>
  <c r="J115" i="1"/>
  <c r="J116" i="1" s="1"/>
  <c r="L117" i="1"/>
  <c r="K118" i="1"/>
  <c r="K119" i="1" s="1"/>
  <c r="AT9" i="29" l="1"/>
  <c r="BG9" i="29"/>
  <c r="AT12" i="29"/>
  <c r="BG12" i="29"/>
  <c r="AU14" i="29"/>
  <c r="BH14" i="29"/>
  <c r="AT11" i="29"/>
  <c r="BG11" i="29"/>
  <c r="AT6" i="29"/>
  <c r="BG6" i="29"/>
  <c r="AU13" i="29"/>
  <c r="BH13" i="29"/>
  <c r="AT10" i="29"/>
  <c r="BG10" i="29"/>
  <c r="AT7" i="29"/>
  <c r="BG7" i="29"/>
  <c r="AT15" i="29"/>
  <c r="BG15" i="29"/>
  <c r="BJ8" i="29"/>
  <c r="M117" i="1"/>
  <c r="L118" i="1"/>
  <c r="L119" i="1" s="1"/>
  <c r="L114" i="1"/>
  <c r="K115" i="1"/>
  <c r="K116" i="1" s="1"/>
  <c r="AU7" i="29" l="1"/>
  <c r="BH7" i="29"/>
  <c r="AU10" i="29"/>
  <c r="BH10" i="29"/>
  <c r="AV13" i="29"/>
  <c r="BI13" i="29"/>
  <c r="AU11" i="29"/>
  <c r="BH11" i="29"/>
  <c r="AU6" i="29"/>
  <c r="BH6" i="29"/>
  <c r="AV14" i="29"/>
  <c r="BI14" i="29"/>
  <c r="AU12" i="29"/>
  <c r="BH12" i="29"/>
  <c r="AU15" i="29"/>
  <c r="BH15" i="29"/>
  <c r="AU9" i="29"/>
  <c r="BH9" i="29"/>
  <c r="BK8" i="29"/>
  <c r="M114" i="1"/>
  <c r="L115" i="1"/>
  <c r="L116" i="1" s="1"/>
  <c r="N117" i="1"/>
  <c r="M118" i="1"/>
  <c r="M119" i="1" s="1"/>
  <c r="AV15" i="29" l="1"/>
  <c r="BI15" i="29"/>
  <c r="AW14" i="29"/>
  <c r="BJ14" i="29"/>
  <c r="AV6" i="29"/>
  <c r="BI6" i="29"/>
  <c r="AV11" i="29"/>
  <c r="BI11" i="29"/>
  <c r="AV12" i="29"/>
  <c r="BI12" i="29"/>
  <c r="AW13" i="29"/>
  <c r="BJ13" i="29"/>
  <c r="AV10" i="29"/>
  <c r="BI10" i="29"/>
  <c r="AV9" i="29"/>
  <c r="BI9" i="29"/>
  <c r="AV7" i="29"/>
  <c r="BI7" i="29"/>
  <c r="BM8" i="29"/>
  <c r="BL8" i="29"/>
  <c r="O117" i="1"/>
  <c r="N118" i="1"/>
  <c r="N119" i="1" s="1"/>
  <c r="N114" i="1"/>
  <c r="M115" i="1"/>
  <c r="M116" i="1" s="1"/>
  <c r="AW10" i="29" l="1"/>
  <c r="BJ10" i="29"/>
  <c r="AW9" i="29"/>
  <c r="BJ9" i="29"/>
  <c r="AX13" i="29"/>
  <c r="BK13" i="29"/>
  <c r="AW12" i="29"/>
  <c r="BJ12" i="29"/>
  <c r="AW11" i="29"/>
  <c r="BJ11" i="29"/>
  <c r="AW6" i="29"/>
  <c r="BJ6" i="29"/>
  <c r="AX14" i="29"/>
  <c r="BK14" i="29"/>
  <c r="AW7" i="29"/>
  <c r="BJ7" i="29"/>
  <c r="AW15" i="29"/>
  <c r="BJ15" i="29"/>
  <c r="O114" i="1"/>
  <c r="N115" i="1"/>
  <c r="N116" i="1" s="1"/>
  <c r="O118" i="1"/>
  <c r="O119" i="1" s="1"/>
  <c r="AX7" i="29" l="1"/>
  <c r="BK7" i="29"/>
  <c r="AY14" i="29"/>
  <c r="BM14" i="29" s="1"/>
  <c r="BL14" i="29"/>
  <c r="AX6" i="29"/>
  <c r="BK6" i="29"/>
  <c r="AX11" i="29"/>
  <c r="BK11" i="29"/>
  <c r="AX12" i="29"/>
  <c r="BK12" i="29"/>
  <c r="AY13" i="29"/>
  <c r="BM13" i="29" s="1"/>
  <c r="BL13" i="29"/>
  <c r="AX9" i="29"/>
  <c r="BK9" i="29"/>
  <c r="AX15" i="29"/>
  <c r="BK15" i="29"/>
  <c r="AX10" i="29"/>
  <c r="BK10" i="29"/>
  <c r="O115" i="1"/>
  <c r="O116" i="1" s="1"/>
  <c r="AY9" i="29" l="1"/>
  <c r="BM9" i="29" s="1"/>
  <c r="BL9" i="29"/>
  <c r="AY15" i="29"/>
  <c r="BM15" i="29" s="1"/>
  <c r="BL15" i="29"/>
  <c r="AY12" i="29"/>
  <c r="BM12" i="29" s="1"/>
  <c r="BL12" i="29"/>
  <c r="AY11" i="29"/>
  <c r="BM11" i="29" s="1"/>
  <c r="BL11" i="29"/>
  <c r="AY6" i="29"/>
  <c r="BM6" i="29" s="1"/>
  <c r="BL6" i="29"/>
  <c r="AY10" i="29"/>
  <c r="BM10" i="29" s="1"/>
  <c r="BL10" i="29"/>
  <c r="AY7" i="29"/>
  <c r="BM7" i="29" s="1"/>
  <c r="BL7" i="29"/>
  <c r="K74" i="1"/>
  <c r="J74" i="1" s="1"/>
  <c r="I111" i="1"/>
  <c r="J111" i="1" s="1"/>
  <c r="K111" i="1" s="1"/>
  <c r="L111" i="1" s="1"/>
  <c r="M111" i="1" s="1"/>
  <c r="N111" i="1" s="1"/>
  <c r="O111" i="1" s="1"/>
  <c r="I74" i="1" l="1"/>
  <c r="D74" i="1"/>
  <c r="C74" i="1"/>
  <c r="E74" i="1"/>
  <c r="G74" i="1"/>
  <c r="F74" i="1"/>
  <c r="H74" i="1"/>
  <c r="E31" i="1"/>
  <c r="D22" i="1"/>
  <c r="C52" i="1" l="1"/>
  <c r="C51" i="1"/>
  <c r="Q45" i="1"/>
  <c r="P45" i="1"/>
  <c r="Q43" i="1"/>
  <c r="P43" i="1"/>
  <c r="Q42" i="1"/>
  <c r="P42" i="1"/>
  <c r="G7" i="29" l="1"/>
  <c r="G8" i="29"/>
  <c r="G9" i="29"/>
  <c r="G10" i="29"/>
  <c r="G11" i="29"/>
  <c r="G12" i="29"/>
  <c r="G13" i="29"/>
  <c r="G14" i="29"/>
  <c r="G15" i="29"/>
  <c r="G6" i="29"/>
  <c r="B17" i="28"/>
  <c r="B18" i="28" s="1"/>
  <c r="B19" i="28" s="1"/>
  <c r="B20" i="28" s="1"/>
  <c r="B21" i="28" s="1"/>
  <c r="B22" i="28" s="1"/>
  <c r="B23" i="28" s="1"/>
  <c r="B24" i="28" s="1"/>
  <c r="B25" i="28" s="1"/>
  <c r="B26" i="28" s="1"/>
  <c r="B27" i="28" s="1"/>
  <c r="B28" i="28" s="1"/>
  <c r="B29" i="28" s="1"/>
  <c r="B30" i="28" s="1"/>
  <c r="B31" i="28" s="1"/>
  <c r="B32" i="28" s="1"/>
  <c r="B33" i="28" s="1"/>
  <c r="B34" i="28" s="1"/>
  <c r="B35" i="28" s="1"/>
  <c r="B36" i="28" s="1"/>
  <c r="B37" i="28" s="1"/>
  <c r="B38" i="28" s="1"/>
  <c r="B39" i="28" s="1"/>
  <c r="B40" i="28" s="1"/>
  <c r="B41" i="28" s="1"/>
  <c r="B42" i="28" s="1"/>
  <c r="B43" i="28" s="1"/>
  <c r="B44" i="28" s="1"/>
  <c r="B45" i="28" s="1"/>
  <c r="B46" i="28" s="1"/>
  <c r="B47" i="28" s="1"/>
  <c r="B48" i="28" s="1"/>
  <c r="B49" i="28" s="1"/>
  <c r="B50" i="28" s="1"/>
  <c r="B51" i="28" s="1"/>
  <c r="B52" i="28" s="1"/>
  <c r="B53" i="28" s="1"/>
  <c r="B54" i="28" s="1"/>
  <c r="B55" i="28" s="1"/>
  <c r="B56" i="28" s="1"/>
  <c r="B57" i="28" s="1"/>
  <c r="B58" i="28" s="1"/>
  <c r="B59" i="28" s="1"/>
  <c r="B60" i="28" s="1"/>
  <c r="B61" i="28" s="1"/>
  <c r="B62" i="28" s="1"/>
  <c r="B63" i="28" s="1"/>
  <c r="B64" i="28" s="1"/>
  <c r="B65" i="28" s="1"/>
  <c r="B66" i="28" s="1"/>
  <c r="B67" i="28" s="1"/>
  <c r="B68" i="28" s="1"/>
  <c r="B69" i="28" s="1"/>
  <c r="B70" i="28" s="1"/>
  <c r="B71" i="28" s="1"/>
  <c r="B72" i="28" s="1"/>
  <c r="B73" i="28" s="1"/>
  <c r="B74" i="28" s="1"/>
  <c r="B75" i="28" s="1"/>
  <c r="B76" i="28" s="1"/>
  <c r="B77" i="28" s="1"/>
  <c r="B78" i="28" s="1"/>
  <c r="B79" i="28" s="1"/>
  <c r="B80" i="28" s="1"/>
  <c r="B81" i="28" s="1"/>
  <c r="B82" i="28" s="1"/>
  <c r="B83" i="28" s="1"/>
  <c r="B84" i="28" s="1"/>
  <c r="B85" i="28" s="1"/>
  <c r="B86" i="28" s="1"/>
  <c r="B87" i="28" s="1"/>
  <c r="B88" i="28" s="1"/>
  <c r="B89" i="28" s="1"/>
  <c r="B90" i="28" s="1"/>
  <c r="B91" i="28" s="1"/>
  <c r="B92" i="28" s="1"/>
  <c r="B93" i="28" s="1"/>
  <c r="B94" i="28" s="1"/>
  <c r="B95" i="28" s="1"/>
  <c r="B96" i="28" s="1"/>
  <c r="B97" i="28" s="1"/>
  <c r="B98" i="28" s="1"/>
  <c r="B99" i="28" s="1"/>
  <c r="B100" i="28" s="1"/>
  <c r="B101" i="28" s="1"/>
  <c r="B102" i="28" s="1"/>
  <c r="B103" i="28" s="1"/>
  <c r="B104" i="28" s="1"/>
  <c r="B105" i="28" s="1"/>
  <c r="B106" i="28" s="1"/>
  <c r="B107" i="28" s="1"/>
  <c r="B108" i="28" s="1"/>
  <c r="B109" i="28" s="1"/>
  <c r="B110" i="28" s="1"/>
  <c r="B111" i="28" s="1"/>
  <c r="B112" i="28" s="1"/>
  <c r="B113" i="28" s="1"/>
  <c r="B114" i="28" s="1"/>
  <c r="B115" i="28" s="1"/>
  <c r="B116" i="28" s="1"/>
  <c r="B117" i="28" s="1"/>
  <c r="B118" i="28" s="1"/>
  <c r="B119" i="28" s="1"/>
  <c r="B120" i="28" s="1"/>
  <c r="B121" i="28" s="1"/>
  <c r="B122" i="28" s="1"/>
  <c r="B123" i="28" s="1"/>
  <c r="B124" i="28" s="1"/>
  <c r="B125" i="28" s="1"/>
  <c r="B126" i="28" s="1"/>
  <c r="B127" i="28" s="1"/>
  <c r="B128" i="28" s="1"/>
  <c r="B129" i="28" s="1"/>
  <c r="B130" i="28" s="1"/>
  <c r="B131" i="28" s="1"/>
  <c r="B132" i="28" s="1"/>
  <c r="B133" i="28" s="1"/>
  <c r="B134" i="28" s="1"/>
  <c r="B135" i="28" s="1"/>
  <c r="B136" i="28" s="1"/>
  <c r="B137" i="28" s="1"/>
  <c r="B138" i="28" s="1"/>
  <c r="B139" i="28" s="1"/>
  <c r="B140" i="28" s="1"/>
  <c r="B141" i="28" s="1"/>
  <c r="B142" i="28" s="1"/>
  <c r="B143" i="28" s="1"/>
  <c r="B144" i="28" s="1"/>
  <c r="B145" i="28" s="1"/>
  <c r="B146" i="28" s="1"/>
  <c r="B147" i="28" s="1"/>
  <c r="B148" i="28" s="1"/>
  <c r="D7" i="28"/>
  <c r="D6" i="28"/>
  <c r="D5" i="28"/>
  <c r="A77" i="28"/>
  <c r="C17" i="28" l="1"/>
  <c r="C18" i="28" s="1"/>
  <c r="C19" i="28" s="1"/>
  <c r="C20" i="28" s="1"/>
  <c r="C21" i="28" s="1"/>
  <c r="C22" i="28" s="1"/>
  <c r="C23" i="28" s="1"/>
  <c r="C24" i="28" s="1"/>
  <c r="C25" i="28" s="1"/>
  <c r="C26" i="28" s="1"/>
  <c r="C27" i="28" s="1"/>
  <c r="C28" i="28" s="1"/>
  <c r="C29" i="28" s="1"/>
  <c r="C30" i="28" s="1"/>
  <c r="C31" i="28" s="1"/>
  <c r="C32" i="28" s="1"/>
  <c r="C33" i="28" s="1"/>
  <c r="C34" i="28" s="1"/>
  <c r="C35" i="28" s="1"/>
  <c r="C36" i="28" s="1"/>
  <c r="C37" i="28" s="1"/>
  <c r="C38" i="28" s="1"/>
  <c r="C39" i="28" s="1"/>
  <c r="C40" i="28" s="1"/>
  <c r="C41" i="28" s="1"/>
  <c r="C42" i="28" s="1"/>
  <c r="C43" i="28" s="1"/>
  <c r="C44" i="28" s="1"/>
  <c r="C45" i="28" s="1"/>
  <c r="C46" i="28" s="1"/>
  <c r="C47" i="28" s="1"/>
  <c r="C48" i="28" s="1"/>
  <c r="C49" i="28" s="1"/>
  <c r="C50" i="28" s="1"/>
  <c r="C51" i="28" s="1"/>
  <c r="C52" i="28" s="1"/>
  <c r="C53" i="28" s="1"/>
  <c r="C54" i="28" s="1"/>
  <c r="C55" i="28" s="1"/>
  <c r="C56" i="28" s="1"/>
  <c r="C57" i="28" s="1"/>
  <c r="C58" i="28" s="1"/>
  <c r="C59" i="28" s="1"/>
  <c r="C60" i="28" s="1"/>
  <c r="C61" i="28" s="1"/>
  <c r="C62" i="28" s="1"/>
  <c r="C63" i="28" s="1"/>
  <c r="C64" i="28" s="1"/>
  <c r="C65" i="28" s="1"/>
  <c r="C66" i="28" s="1"/>
  <c r="C67" i="28" s="1"/>
  <c r="C68" i="28" s="1"/>
  <c r="C69" i="28" s="1"/>
  <c r="C70" i="28" s="1"/>
  <c r="C71" i="28" s="1"/>
  <c r="C72" i="28" s="1"/>
  <c r="C73" i="28" s="1"/>
  <c r="C74" i="28" s="1"/>
  <c r="C75" i="28" s="1"/>
  <c r="C76" i="28" s="1"/>
  <c r="C77" i="28" s="1"/>
  <c r="C78" i="28" s="1"/>
  <c r="C79" i="28" s="1"/>
  <c r="C80" i="28" s="1"/>
  <c r="C81" i="28" s="1"/>
  <c r="C82" i="28" s="1"/>
  <c r="C83" i="28" s="1"/>
  <c r="C84" i="28" s="1"/>
  <c r="C85" i="28" s="1"/>
  <c r="C86" i="28" s="1"/>
  <c r="C87" i="28" s="1"/>
  <c r="C88" i="28" s="1"/>
  <c r="C89" i="28" s="1"/>
  <c r="C90" i="28" s="1"/>
  <c r="C91" i="28" s="1"/>
  <c r="C92" i="28" s="1"/>
  <c r="C93" i="28" s="1"/>
  <c r="C94" i="28" s="1"/>
  <c r="C95" i="28" s="1"/>
  <c r="C96" i="28" s="1"/>
  <c r="C97" i="28" s="1"/>
  <c r="C98" i="28" s="1"/>
  <c r="C99" i="28" s="1"/>
  <c r="C100" i="28" s="1"/>
  <c r="C101" i="28" s="1"/>
  <c r="C102" i="28" s="1"/>
  <c r="C103" i="28" s="1"/>
  <c r="C104" i="28" s="1"/>
  <c r="C105" i="28" s="1"/>
  <c r="C106" i="28" s="1"/>
  <c r="C107" i="28" s="1"/>
  <c r="C108" i="28" s="1"/>
  <c r="C109" i="28" s="1"/>
  <c r="C110" i="28" s="1"/>
  <c r="C111" i="28" s="1"/>
  <c r="C112" i="28" s="1"/>
  <c r="C113" i="28" s="1"/>
  <c r="C114" i="28" s="1"/>
  <c r="C115" i="28" s="1"/>
  <c r="C116" i="28" s="1"/>
  <c r="C117" i="28" s="1"/>
  <c r="C118" i="28" s="1"/>
  <c r="C119" i="28" s="1"/>
  <c r="C120" i="28" s="1"/>
  <c r="C121" i="28" s="1"/>
  <c r="C122" i="28" s="1"/>
  <c r="C123" i="28" s="1"/>
  <c r="C124" i="28" s="1"/>
  <c r="C125" i="28" s="1"/>
  <c r="C126" i="28" s="1"/>
  <c r="C127" i="28" s="1"/>
  <c r="C128" i="28" s="1"/>
  <c r="C129" i="28" s="1"/>
  <c r="C130" i="28" s="1"/>
  <c r="C131" i="28" s="1"/>
  <c r="C132" i="28" s="1"/>
  <c r="C133" i="28" s="1"/>
  <c r="C134" i="28" s="1"/>
  <c r="C135" i="28" s="1"/>
  <c r="C136" i="28" s="1"/>
  <c r="C137" i="28" s="1"/>
  <c r="C138" i="28" s="1"/>
  <c r="C139" i="28" s="1"/>
  <c r="C140" i="28" s="1"/>
  <c r="C141" i="28" s="1"/>
  <c r="C142" i="28" s="1"/>
  <c r="C143" i="28" s="1"/>
  <c r="C144" i="28" s="1"/>
  <c r="C145" i="28" s="1"/>
  <c r="C146" i="28" s="1"/>
  <c r="C147" i="28" s="1"/>
  <c r="C148" i="28" s="1"/>
  <c r="A78" i="28"/>
  <c r="L17" i="1" l="1"/>
  <c r="K32" i="1" s="1"/>
  <c r="A79" i="28"/>
  <c r="M17" i="1" l="1"/>
  <c r="F110" i="1"/>
  <c r="F121" i="1" s="1"/>
  <c r="G107" i="1"/>
  <c r="G110" i="1" s="1"/>
  <c r="G121" i="1" s="1"/>
  <c r="E32" i="1"/>
  <c r="L16" i="1"/>
  <c r="A80" i="28"/>
  <c r="M16" i="1" l="1"/>
  <c r="K30" i="1"/>
  <c r="K29" i="1"/>
  <c r="F112" i="1"/>
  <c r="F113" i="1" s="1"/>
  <c r="F120" i="1" s="1"/>
  <c r="F127" i="1" s="1"/>
  <c r="G112" i="1"/>
  <c r="G113" i="1" s="1"/>
  <c r="G120" i="1" s="1"/>
  <c r="H107" i="1"/>
  <c r="A81" i="28"/>
  <c r="H110" i="1" l="1"/>
  <c r="H121" i="1" s="1"/>
  <c r="I107" i="1"/>
  <c r="A82" i="28"/>
  <c r="H112" i="1" l="1"/>
  <c r="H113" i="1" s="1"/>
  <c r="H120" i="1" s="1"/>
  <c r="J107" i="1"/>
  <c r="I110" i="1"/>
  <c r="I121" i="1" s="1"/>
  <c r="A83" i="28"/>
  <c r="I112" i="1" l="1"/>
  <c r="I113" i="1" s="1"/>
  <c r="I120" i="1" s="1"/>
  <c r="J110" i="1"/>
  <c r="J121" i="1" s="1"/>
  <c r="K107" i="1"/>
  <c r="A84" i="28"/>
  <c r="J112" i="1" l="1"/>
  <c r="J113" i="1" s="1"/>
  <c r="J120" i="1" s="1"/>
  <c r="K110" i="1"/>
  <c r="K121" i="1" s="1"/>
  <c r="L107" i="1"/>
  <c r="A85" i="28"/>
  <c r="K112" i="1" l="1"/>
  <c r="K113" i="1" s="1"/>
  <c r="K120" i="1" s="1"/>
  <c r="L110" i="1"/>
  <c r="L121" i="1" s="1"/>
  <c r="M107" i="1"/>
  <c r="A86" i="28"/>
  <c r="L112" i="1" l="1"/>
  <c r="L113" i="1" s="1"/>
  <c r="L120" i="1" s="1"/>
  <c r="M110" i="1"/>
  <c r="M121" i="1" s="1"/>
  <c r="N107" i="1"/>
  <c r="A87" i="28"/>
  <c r="M112" i="1" l="1"/>
  <c r="M113" i="1" s="1"/>
  <c r="M120" i="1" s="1"/>
  <c r="N110" i="1"/>
  <c r="N121" i="1" s="1"/>
  <c r="O107" i="1"/>
  <c r="A88" i="28"/>
  <c r="N112" i="1" l="1"/>
  <c r="N113" i="1" s="1"/>
  <c r="N120" i="1" s="1"/>
  <c r="O110" i="1"/>
  <c r="O121" i="1" s="1"/>
  <c r="A89" i="28"/>
  <c r="O112" i="1" l="1"/>
  <c r="O113" i="1" s="1"/>
  <c r="O120" i="1" s="1"/>
  <c r="A90" i="28"/>
  <c r="A91" i="28" l="1"/>
  <c r="A92" i="28" l="1"/>
  <c r="A93" i="28" l="1"/>
  <c r="A94" i="28" l="1"/>
  <c r="A95" i="28" l="1"/>
  <c r="A96" i="28" l="1"/>
  <c r="A97" i="28" l="1"/>
  <c r="A98" i="28" l="1"/>
  <c r="A99" i="28" l="1"/>
  <c r="A100" i="28" l="1"/>
  <c r="A101" i="28" l="1"/>
  <c r="A102" i="28" l="1"/>
  <c r="A103" i="28" l="1"/>
  <c r="A104" i="28" l="1"/>
  <c r="A105" i="28" l="1"/>
  <c r="A106" i="28" l="1"/>
  <c r="A107" i="28" l="1"/>
  <c r="A108" i="28" l="1"/>
  <c r="A109" i="28" l="1"/>
  <c r="A110" i="28" l="1"/>
  <c r="A111" i="28" l="1"/>
  <c r="A112" i="28" l="1"/>
  <c r="A113" i="28" l="1"/>
  <c r="A114" i="28" l="1"/>
  <c r="A115" i="28" l="1"/>
  <c r="A116" i="28" l="1"/>
  <c r="A117" i="28" l="1"/>
  <c r="A118" i="28" l="1"/>
  <c r="A119" i="28" l="1"/>
  <c r="A120" i="28" l="1"/>
  <c r="A121" i="28" l="1"/>
  <c r="A122" i="28" l="1"/>
  <c r="A123" i="28" l="1"/>
  <c r="A124" i="28" l="1"/>
  <c r="A125" i="28" l="1"/>
  <c r="A126" i="28" l="1"/>
  <c r="A127" i="28" l="1"/>
  <c r="A128" i="28" l="1"/>
  <c r="A129" i="28" l="1"/>
  <c r="A130" i="28" l="1"/>
  <c r="A131" i="28" l="1"/>
  <c r="A132" i="28" l="1"/>
  <c r="A133" i="28" l="1"/>
  <c r="A134" i="28" l="1"/>
  <c r="A135" i="28" l="1"/>
  <c r="A136" i="28" l="1"/>
  <c r="A137" i="28" l="1"/>
  <c r="A138" i="28" l="1"/>
  <c r="A139" i="28" l="1"/>
  <c r="A140" i="28" l="1"/>
  <c r="A141" i="28" l="1"/>
  <c r="A142" i="28" l="1"/>
  <c r="A143" i="28" l="1"/>
  <c r="A144" i="28" l="1"/>
  <c r="A145" i="28" l="1"/>
  <c r="A146" i="28" l="1"/>
  <c r="A147" i="28" l="1"/>
  <c r="A148" i="28" l="1"/>
  <c r="L74" i="1" l="1"/>
  <c r="M74" i="1" l="1"/>
  <c r="N74" i="1" l="1"/>
  <c r="O74" i="1" l="1"/>
  <c r="G136" i="1" l="1"/>
  <c r="H136" i="1" s="1"/>
  <c r="I136" i="1" s="1"/>
  <c r="J136" i="1" s="1"/>
  <c r="K136" i="1" s="1"/>
  <c r="L136" i="1" s="1"/>
  <c r="M136" i="1" s="1"/>
  <c r="N136" i="1" s="1"/>
  <c r="O136" i="1" s="1"/>
  <c r="G125" i="1" l="1"/>
  <c r="H125" i="1" s="1"/>
  <c r="I125" i="1" s="1"/>
  <c r="J125" i="1" s="1"/>
  <c r="K125" i="1" s="1"/>
  <c r="L125" i="1" s="1"/>
  <c r="M125" i="1" s="1"/>
  <c r="N125" i="1" s="1"/>
  <c r="O125" i="1" s="1"/>
  <c r="G128" i="1"/>
  <c r="H128" i="1" s="1"/>
  <c r="I128" i="1" s="1"/>
  <c r="J128" i="1" s="1"/>
  <c r="K128" i="1" s="1"/>
  <c r="L128" i="1" s="1"/>
  <c r="M128" i="1" s="1"/>
  <c r="N128" i="1" s="1"/>
  <c r="O128" i="1" s="1"/>
  <c r="G129" i="1"/>
  <c r="H129" i="1" s="1"/>
  <c r="I129" i="1" s="1"/>
  <c r="J129" i="1" s="1"/>
  <c r="K129" i="1" s="1"/>
  <c r="L129" i="1" s="1"/>
  <c r="M129" i="1" s="1"/>
  <c r="N129" i="1" s="1"/>
  <c r="O129" i="1" s="1"/>
  <c r="G126" i="1"/>
  <c r="H126" i="1" l="1"/>
  <c r="G127" i="1"/>
  <c r="G124" i="1"/>
  <c r="G130" i="1"/>
  <c r="H130" i="1" s="1"/>
  <c r="I130" i="1" s="1"/>
  <c r="J130" i="1" s="1"/>
  <c r="K130" i="1" s="1"/>
  <c r="L130" i="1" s="1"/>
  <c r="M130" i="1" s="1"/>
  <c r="N130" i="1" s="1"/>
  <c r="O130" i="1" s="1"/>
  <c r="E137" i="1"/>
  <c r="G135" i="1"/>
  <c r="H135" i="1" s="1"/>
  <c r="I135" i="1" s="1"/>
  <c r="J135" i="1" s="1"/>
  <c r="K135" i="1" s="1"/>
  <c r="L135" i="1" s="1"/>
  <c r="M135" i="1" s="1"/>
  <c r="N135" i="1" s="1"/>
  <c r="O135" i="1" s="1"/>
  <c r="I126" i="1" l="1"/>
  <c r="H127" i="1"/>
  <c r="E138" i="1"/>
  <c r="D137" i="1"/>
  <c r="H124" i="1"/>
  <c r="I124" i="1" s="1"/>
  <c r="J124" i="1" s="1"/>
  <c r="K124" i="1" s="1"/>
  <c r="L124" i="1" s="1"/>
  <c r="M124" i="1" s="1"/>
  <c r="N124" i="1" s="1"/>
  <c r="O124" i="1" s="1"/>
  <c r="G137" i="1"/>
  <c r="G138" i="1" s="1"/>
  <c r="F137" i="1"/>
  <c r="F138" i="1" s="1"/>
  <c r="J126" i="1" l="1"/>
  <c r="I127" i="1"/>
  <c r="I137" i="1" s="1"/>
  <c r="I138" i="1" s="1"/>
  <c r="H137" i="1"/>
  <c r="G43" i="1"/>
  <c r="F43" i="1"/>
  <c r="K126" i="1" l="1"/>
  <c r="J127" i="1"/>
  <c r="J137" i="1" s="1"/>
  <c r="J138" i="1" s="1"/>
  <c r="H43" i="1"/>
  <c r="H138" i="1"/>
  <c r="I43" i="1"/>
  <c r="J43" i="1" l="1"/>
  <c r="L126" i="1"/>
  <c r="K127" i="1"/>
  <c r="K137" i="1" s="1"/>
  <c r="K138" i="1" s="1"/>
  <c r="K43" i="1" l="1"/>
  <c r="M126" i="1"/>
  <c r="L127" i="1"/>
  <c r="L137" i="1" s="1"/>
  <c r="L138" i="1" s="1"/>
  <c r="L43" i="1" l="1"/>
  <c r="N126" i="1"/>
  <c r="M127" i="1"/>
  <c r="M137" i="1" s="1"/>
  <c r="M138" i="1" s="1"/>
  <c r="M43" i="1" l="1"/>
  <c r="O126" i="1"/>
  <c r="O127" i="1" s="1"/>
  <c r="O137" i="1" s="1"/>
  <c r="O138" i="1" s="1"/>
  <c r="N127" i="1"/>
  <c r="N137" i="1" s="1"/>
  <c r="N138" i="1" s="1"/>
  <c r="N43" i="1" l="1"/>
  <c r="O43" i="1"/>
  <c r="E140" i="1"/>
  <c r="F42" i="1"/>
  <c r="G42" i="1"/>
  <c r="M140" i="1" l="1"/>
  <c r="M44" i="1" s="1"/>
  <c r="J140" i="1"/>
  <c r="J44" i="1" s="1"/>
  <c r="G140" i="1"/>
  <c r="G44" i="1" s="1"/>
  <c r="M42" i="1"/>
  <c r="O42" i="1"/>
  <c r="P41" i="1" s="1"/>
  <c r="F140" i="1"/>
  <c r="E17" i="1" s="1"/>
  <c r="J42" i="1"/>
  <c r="H140" i="1"/>
  <c r="H44" i="1" s="1"/>
  <c r="H42" i="1"/>
  <c r="F44" i="1" l="1"/>
  <c r="N140" i="1"/>
  <c r="N44" i="1" s="1"/>
  <c r="N42" i="1"/>
  <c r="O140" i="1"/>
  <c r="I140" i="1"/>
  <c r="I44" i="1" s="1"/>
  <c r="I42" i="1"/>
  <c r="K140" i="1"/>
  <c r="K44" i="1" s="1"/>
  <c r="K42" i="1"/>
  <c r="L140" i="1"/>
  <c r="L44" i="1" s="1"/>
  <c r="L42" i="1"/>
  <c r="E18" i="1" l="1"/>
  <c r="E33" i="1"/>
  <c r="E34" i="1" s="1"/>
  <c r="L8" i="1" s="1"/>
  <c r="E96" i="1" s="1"/>
  <c r="L92" i="1"/>
  <c r="K92" i="1"/>
  <c r="J92" i="1"/>
  <c r="I92" i="1"/>
  <c r="F92" i="1"/>
  <c r="C92" i="1"/>
  <c r="O92" i="1"/>
  <c r="N92" i="1"/>
  <c r="M92" i="1"/>
  <c r="H92" i="1"/>
  <c r="G92" i="1"/>
  <c r="E92" i="1"/>
  <c r="D92" i="1"/>
  <c r="O44" i="1"/>
  <c r="D71" i="1"/>
  <c r="D76" i="1" s="1"/>
  <c r="J71" i="1"/>
  <c r="J76" i="1" s="1"/>
  <c r="M71" i="1"/>
  <c r="M76" i="1" s="1"/>
  <c r="O71" i="1"/>
  <c r="O76" i="1" s="1"/>
  <c r="E71" i="1"/>
  <c r="E76" i="1" s="1"/>
  <c r="G71" i="1"/>
  <c r="G76" i="1" s="1"/>
  <c r="H71" i="1"/>
  <c r="H76" i="1" s="1"/>
  <c r="I71" i="1"/>
  <c r="I76" i="1" s="1"/>
  <c r="F71" i="1"/>
  <c r="F76" i="1" s="1"/>
  <c r="K71" i="1"/>
  <c r="K76" i="1" s="1"/>
  <c r="L71" i="1"/>
  <c r="L76" i="1" s="1"/>
  <c r="N71" i="1"/>
  <c r="N76" i="1" s="1"/>
  <c r="C71" i="1"/>
  <c r="C76" i="1" s="1"/>
  <c r="J96" i="1" l="1"/>
  <c r="C96" i="1"/>
  <c r="F79" i="1"/>
  <c r="D30" i="1"/>
  <c r="P47" i="1" s="1"/>
  <c r="G79" i="1"/>
  <c r="C79" i="1"/>
  <c r="F96" i="1"/>
  <c r="G96" i="1"/>
  <c r="I96" i="1"/>
  <c r="E79" i="1"/>
  <c r="H79" i="1"/>
  <c r="L79" i="1"/>
  <c r="K96" i="1"/>
  <c r="N96" i="1"/>
  <c r="M79" i="1"/>
  <c r="I79" i="1"/>
  <c r="O96" i="1"/>
  <c r="L96" i="1"/>
  <c r="M8" i="1"/>
  <c r="K28" i="1"/>
  <c r="D4" i="28"/>
  <c r="D58" i="28" s="1"/>
  <c r="K79" i="1"/>
  <c r="J79" i="1"/>
  <c r="I8" i="1"/>
  <c r="M96" i="1"/>
  <c r="N79" i="1"/>
  <c r="O79" i="1"/>
  <c r="D79" i="1"/>
  <c r="D96" i="1"/>
  <c r="H96" i="1"/>
  <c r="K72" i="1"/>
  <c r="K73" i="1" s="1"/>
  <c r="K93" i="1"/>
  <c r="C93" i="1" s="1"/>
  <c r="L93" i="1" s="1"/>
  <c r="E17" i="28" l="1"/>
  <c r="D9" i="28" s="1"/>
  <c r="D10" i="28" s="1"/>
  <c r="E10" i="28" s="1"/>
  <c r="D119" i="28"/>
  <c r="D72" i="28"/>
  <c r="D100" i="28"/>
  <c r="D115" i="28"/>
  <c r="D86" i="28"/>
  <c r="D85" i="28"/>
  <c r="D84" i="28"/>
  <c r="D99" i="28"/>
  <c r="D67" i="28"/>
  <c r="D127" i="28"/>
  <c r="D111" i="28"/>
  <c r="Q47" i="1"/>
  <c r="Q48" i="1" s="1"/>
  <c r="D95" i="28"/>
  <c r="D53" i="28"/>
  <c r="D143" i="28"/>
  <c r="L18" i="1"/>
  <c r="M18" i="1" s="1"/>
  <c r="D105" i="28"/>
  <c r="D134" i="28"/>
  <c r="D77" i="28"/>
  <c r="D108" i="28"/>
  <c r="D101" i="28"/>
  <c r="D107" i="28"/>
  <c r="D132" i="28"/>
  <c r="D91" i="28"/>
  <c r="D103" i="28"/>
  <c r="D140" i="28"/>
  <c r="D148" i="28"/>
  <c r="D131" i="28"/>
  <c r="D79" i="28"/>
  <c r="D73" i="28"/>
  <c r="D59" i="28"/>
  <c r="D98" i="28"/>
  <c r="D102" i="28"/>
  <c r="D87" i="28"/>
  <c r="D82" i="28"/>
  <c r="D11" i="28"/>
  <c r="D12" i="28" s="1"/>
  <c r="E12" i="28" s="1"/>
  <c r="D62" i="28"/>
  <c r="D54" i="28"/>
  <c r="D129" i="28"/>
  <c r="D66" i="28"/>
  <c r="D142" i="28"/>
  <c r="D125" i="28"/>
  <c r="D113" i="28"/>
  <c r="D144" i="28"/>
  <c r="D110" i="28"/>
  <c r="D69" i="28"/>
  <c r="D97" i="28"/>
  <c r="D64" i="28"/>
  <c r="D94" i="28"/>
  <c r="D124" i="28"/>
  <c r="D75" i="28"/>
  <c r="D83" i="28"/>
  <c r="D63" i="28"/>
  <c r="D104" i="28"/>
  <c r="D130" i="28"/>
  <c r="D126" i="28"/>
  <c r="D117" i="28"/>
  <c r="D61" i="28"/>
  <c r="D116" i="28"/>
  <c r="D81" i="28"/>
  <c r="D121" i="28"/>
  <c r="D78" i="28"/>
  <c r="D92" i="28"/>
  <c r="D68" i="28"/>
  <c r="D65" i="28"/>
  <c r="D56" i="28"/>
  <c r="D141" i="28"/>
  <c r="D138" i="28"/>
  <c r="D147" i="28"/>
  <c r="D89" i="28"/>
  <c r="D71" i="28"/>
  <c r="D109" i="28"/>
  <c r="D122" i="28"/>
  <c r="D146" i="28"/>
  <c r="D145" i="28"/>
  <c r="D114" i="28"/>
  <c r="D133" i="28"/>
  <c r="D118" i="28"/>
  <c r="D93" i="28"/>
  <c r="C94" i="1"/>
  <c r="C95" i="1" s="1"/>
  <c r="D136" i="28"/>
  <c r="D128" i="28"/>
  <c r="D88" i="28"/>
  <c r="D76" i="28"/>
  <c r="D106" i="28"/>
  <c r="D135" i="28"/>
  <c r="D112" i="28"/>
  <c r="D137" i="28"/>
  <c r="D60" i="28"/>
  <c r="D90" i="28"/>
  <c r="D55" i="28"/>
  <c r="D96" i="28"/>
  <c r="D57" i="28"/>
  <c r="D139" i="28"/>
  <c r="D74" i="28"/>
  <c r="D70" i="28"/>
  <c r="D80" i="28"/>
  <c r="D120" i="28"/>
  <c r="D123" i="28"/>
  <c r="G93" i="1"/>
  <c r="G94" i="1" s="1"/>
  <c r="G95" i="1" s="1"/>
  <c r="I93" i="1"/>
  <c r="I94" i="1" s="1"/>
  <c r="I95" i="1" s="1"/>
  <c r="J72" i="1"/>
  <c r="J73" i="1" s="1"/>
  <c r="J75" i="1" s="1"/>
  <c r="J77" i="1" s="1"/>
  <c r="J78" i="1" s="1"/>
  <c r="E72" i="1"/>
  <c r="H72" i="1"/>
  <c r="H73" i="1" s="1"/>
  <c r="H75" i="1" s="1"/>
  <c r="H77" i="1" s="1"/>
  <c r="H78" i="1" s="1"/>
  <c r="I72" i="1"/>
  <c r="I73" i="1" s="1"/>
  <c r="I75" i="1" s="1"/>
  <c r="I77" i="1" s="1"/>
  <c r="I78" i="1" s="1"/>
  <c r="G72" i="1"/>
  <c r="G73" i="1" s="1"/>
  <c r="G75" i="1" s="1"/>
  <c r="G77" i="1" s="1"/>
  <c r="G78" i="1" s="1"/>
  <c r="C72" i="1"/>
  <c r="J93" i="1"/>
  <c r="J94" i="1" s="1"/>
  <c r="J95" i="1" s="1"/>
  <c r="D72" i="1"/>
  <c r="H93" i="1"/>
  <c r="H94" i="1" s="1"/>
  <c r="H95" i="1" s="1"/>
  <c r="F72" i="1"/>
  <c r="K94" i="1"/>
  <c r="K95" i="1" s="1"/>
  <c r="L94" i="1"/>
  <c r="L95" i="1" s="1"/>
  <c r="D93" i="1"/>
  <c r="K75" i="1"/>
  <c r="K77" i="1" s="1"/>
  <c r="K78" i="1" s="1"/>
  <c r="P48" i="1"/>
  <c r="D17" i="28" l="1"/>
  <c r="F17" i="28" s="1"/>
  <c r="J17" i="28" s="1"/>
  <c r="I17" i="28"/>
  <c r="G47" i="1"/>
  <c r="G46" i="1" s="1"/>
  <c r="F47" i="1"/>
  <c r="F46" i="1" s="1"/>
  <c r="K47" i="1"/>
  <c r="K46" i="1" s="1"/>
  <c r="M47" i="1"/>
  <c r="M46" i="1" s="1"/>
  <c r="J47" i="1"/>
  <c r="J46" i="1" s="1"/>
  <c r="L47" i="1"/>
  <c r="L46" i="1" s="1"/>
  <c r="N47" i="1"/>
  <c r="N46" i="1" s="1"/>
  <c r="I47" i="1"/>
  <c r="I46" i="1" s="1"/>
  <c r="O47" i="1"/>
  <c r="O46" i="1" s="1"/>
  <c r="D8" i="28"/>
  <c r="H47" i="1"/>
  <c r="H46" i="1" s="1"/>
  <c r="O72" i="1"/>
  <c r="O73" i="1" s="1"/>
  <c r="O75" i="1" s="1"/>
  <c r="O77" i="1" s="1"/>
  <c r="O78" i="1" s="1"/>
  <c r="F73" i="1"/>
  <c r="F75" i="1" s="1"/>
  <c r="F77" i="1" s="1"/>
  <c r="F78" i="1" s="1"/>
  <c r="D73" i="1"/>
  <c r="D75" i="1" s="1"/>
  <c r="D77" i="1" s="1"/>
  <c r="D78" i="1" s="1"/>
  <c r="M72" i="1"/>
  <c r="M73" i="1" s="1"/>
  <c r="M75" i="1" s="1"/>
  <c r="M77" i="1" s="1"/>
  <c r="M78" i="1" s="1"/>
  <c r="C73" i="1"/>
  <c r="C75" i="1" s="1"/>
  <c r="C77" i="1" s="1"/>
  <c r="C78" i="1" s="1"/>
  <c r="L72" i="1"/>
  <c r="L73" i="1" s="1"/>
  <c r="L75" i="1" s="1"/>
  <c r="L77" i="1" s="1"/>
  <c r="L78" i="1" s="1"/>
  <c r="N72" i="1"/>
  <c r="N73" i="1" s="1"/>
  <c r="N75" i="1" s="1"/>
  <c r="N77" i="1" s="1"/>
  <c r="N78" i="1" s="1"/>
  <c r="E73" i="1"/>
  <c r="E75" i="1" s="1"/>
  <c r="E77" i="1" s="1"/>
  <c r="E78" i="1" s="1"/>
  <c r="D94" i="1"/>
  <c r="D95" i="1" s="1"/>
  <c r="M93" i="1"/>
  <c r="Q52" i="1"/>
  <c r="Q51" i="1"/>
  <c r="P51" i="1"/>
  <c r="P52" i="1"/>
  <c r="G17" i="28" l="1"/>
  <c r="E18" i="28" s="1"/>
  <c r="D18" i="28" s="1"/>
  <c r="F18" i="28" s="1"/>
  <c r="G48" i="1"/>
  <c r="G50" i="1" s="1"/>
  <c r="G52" i="1" s="1"/>
  <c r="G51" i="1" s="1"/>
  <c r="F48" i="1"/>
  <c r="F50" i="1" s="1"/>
  <c r="F52" i="1" s="1"/>
  <c r="F51" i="1" s="1"/>
  <c r="N48" i="1"/>
  <c r="N50" i="1" s="1"/>
  <c r="N52" i="1" s="1"/>
  <c r="N58" i="1" s="1"/>
  <c r="K48" i="1"/>
  <c r="K50" i="1" s="1"/>
  <c r="K52" i="1" s="1"/>
  <c r="K51" i="1" s="1"/>
  <c r="M48" i="1"/>
  <c r="M50" i="1" s="1"/>
  <c r="M52" i="1" s="1"/>
  <c r="M51" i="1" s="1"/>
  <c r="I48" i="1"/>
  <c r="I50" i="1" s="1"/>
  <c r="I52" i="1" s="1"/>
  <c r="I51" i="1" s="1"/>
  <c r="L48" i="1"/>
  <c r="L50" i="1" s="1"/>
  <c r="L52" i="1" s="1"/>
  <c r="L51" i="1" s="1"/>
  <c r="J48" i="1"/>
  <c r="J50" i="1" s="1"/>
  <c r="J52" i="1" s="1"/>
  <c r="J51" i="1" s="1"/>
  <c r="H48" i="1"/>
  <c r="H50" i="1" s="1"/>
  <c r="H52" i="1" s="1"/>
  <c r="H51" i="1" s="1"/>
  <c r="O48" i="1"/>
  <c r="O50" i="1" s="1"/>
  <c r="O52" i="1" s="1"/>
  <c r="O51" i="1" s="1"/>
  <c r="E93" i="1"/>
  <c r="M94" i="1"/>
  <c r="M95" i="1" s="1"/>
  <c r="I18" i="28" l="1"/>
  <c r="G62" i="1"/>
  <c r="G58" i="1"/>
  <c r="N62" i="1"/>
  <c r="F58" i="1"/>
  <c r="F62" i="1"/>
  <c r="K62" i="1"/>
  <c r="N51" i="1"/>
  <c r="L58" i="1"/>
  <c r="L62" i="1"/>
  <c r="M62" i="1"/>
  <c r="J62" i="1"/>
  <c r="J58" i="1"/>
  <c r="M58" i="1"/>
  <c r="H58" i="1"/>
  <c r="H62" i="1"/>
  <c r="O62" i="1"/>
  <c r="K58" i="1"/>
  <c r="I58" i="1"/>
  <c r="I62" i="1"/>
  <c r="E94" i="1"/>
  <c r="E95" i="1" s="1"/>
  <c r="N93" i="1"/>
  <c r="J18" i="28"/>
  <c r="G18" i="28"/>
  <c r="F93" i="1" l="1"/>
  <c r="N94" i="1"/>
  <c r="N95" i="1" s="1"/>
  <c r="E19" i="28"/>
  <c r="D19" i="28" s="1"/>
  <c r="O93" i="1" l="1"/>
  <c r="O94" i="1" s="1"/>
  <c r="O95" i="1" s="1"/>
  <c r="F94" i="1"/>
  <c r="F95" i="1" s="1"/>
  <c r="F19" i="28"/>
  <c r="I19" i="28"/>
  <c r="J19" i="28" l="1"/>
  <c r="G19" i="28"/>
  <c r="E20" i="28" l="1"/>
  <c r="D20" i="28" s="1"/>
  <c r="F20" i="28" l="1"/>
  <c r="I20" i="28"/>
  <c r="J20" i="28" l="1"/>
  <c r="G20" i="28"/>
  <c r="E21" i="28" l="1"/>
  <c r="D21" i="28" s="1"/>
  <c r="F21" i="28" l="1"/>
  <c r="I21" i="28"/>
  <c r="J21" i="28" l="1"/>
  <c r="G21" i="28"/>
  <c r="E22" i="28" l="1"/>
  <c r="D22" i="28" s="1"/>
  <c r="F22" i="28" l="1"/>
  <c r="I22" i="28"/>
  <c r="J22" i="28" l="1"/>
  <c r="G22" i="28"/>
  <c r="E23" i="28" l="1"/>
  <c r="D23" i="28" s="1"/>
  <c r="F23" i="28" l="1"/>
  <c r="I23" i="28"/>
  <c r="J23" i="28" l="1"/>
  <c r="G23" i="28"/>
  <c r="E24" i="28" l="1"/>
  <c r="D24" i="28" s="1"/>
  <c r="F24" i="28" l="1"/>
  <c r="I24" i="28"/>
  <c r="J24" i="28" l="1"/>
  <c r="G24" i="28"/>
  <c r="E25" i="28" l="1"/>
  <c r="D25" i="28" s="1"/>
  <c r="F25" i="28" l="1"/>
  <c r="I25" i="28"/>
  <c r="J25" i="28" l="1"/>
  <c r="G25" i="28"/>
  <c r="E26" i="28" l="1"/>
  <c r="D26" i="28" s="1"/>
  <c r="F26" i="28" l="1"/>
  <c r="I26" i="28"/>
  <c r="J26" i="28" l="1"/>
  <c r="G26" i="28"/>
  <c r="E27" i="28" l="1"/>
  <c r="D27" i="28" s="1"/>
  <c r="F27" i="28" l="1"/>
  <c r="I27" i="28"/>
  <c r="J27" i="28" l="1"/>
  <c r="G27" i="28"/>
  <c r="E28" i="28" l="1"/>
  <c r="D28" i="28" s="1"/>
  <c r="F28" i="28" l="1"/>
  <c r="I28" i="28"/>
  <c r="J28" i="28" l="1"/>
  <c r="G28" i="28"/>
  <c r="H28" i="28" l="1"/>
  <c r="E29" i="28"/>
  <c r="D29" i="28" l="1"/>
  <c r="F29" i="28" s="1"/>
  <c r="I29" i="28"/>
  <c r="J29" i="28" l="1"/>
  <c r="G29" i="28"/>
  <c r="E30" i="28" l="1"/>
  <c r="D30" i="28" l="1"/>
  <c r="F30" i="28" s="1"/>
  <c r="I30" i="28"/>
  <c r="J30" i="28" l="1"/>
  <c r="G30" i="28"/>
  <c r="E31" i="28" l="1"/>
  <c r="D31" i="28" l="1"/>
  <c r="F31" i="28" s="1"/>
  <c r="I31" i="28"/>
  <c r="J31" i="28" l="1"/>
  <c r="G31" i="28"/>
  <c r="E32" i="28" l="1"/>
  <c r="D32" i="28" l="1"/>
  <c r="F32" i="28" s="1"/>
  <c r="I32" i="28"/>
  <c r="J32" i="28" l="1"/>
  <c r="G32" i="28"/>
  <c r="E33" i="28" l="1"/>
  <c r="D33" i="28" l="1"/>
  <c r="F33" i="28" s="1"/>
  <c r="I33" i="28"/>
  <c r="J33" i="28" l="1"/>
  <c r="G33" i="28"/>
  <c r="E34" i="28" l="1"/>
  <c r="D34" i="28" l="1"/>
  <c r="F34" i="28" s="1"/>
  <c r="I34" i="28"/>
  <c r="J34" i="28" l="1"/>
  <c r="G34" i="28"/>
  <c r="E35" i="28" l="1"/>
  <c r="D35" i="28" l="1"/>
  <c r="F35" i="28" s="1"/>
  <c r="I35" i="28"/>
  <c r="J35" i="28" l="1"/>
  <c r="G35" i="28"/>
  <c r="E36" i="28" l="1"/>
  <c r="D36" i="28" s="1"/>
  <c r="F36" i="28" l="1"/>
  <c r="I36" i="28"/>
  <c r="J36" i="28" l="1"/>
  <c r="G36" i="28"/>
  <c r="E37" i="28" l="1"/>
  <c r="D37" i="28" s="1"/>
  <c r="F37" i="28" l="1"/>
  <c r="I37" i="28"/>
  <c r="J37" i="28" l="1"/>
  <c r="G37" i="28"/>
  <c r="E38" i="28" l="1"/>
  <c r="D38" i="28" s="1"/>
  <c r="F38" i="28" l="1"/>
  <c r="I38" i="28"/>
  <c r="J38" i="28" l="1"/>
  <c r="G38" i="28"/>
  <c r="E39" i="28" l="1"/>
  <c r="D39" i="28" s="1"/>
  <c r="F39" i="28" l="1"/>
  <c r="I39" i="28"/>
  <c r="J39" i="28" l="1"/>
  <c r="G39" i="28"/>
  <c r="E40" i="28" l="1"/>
  <c r="D40" i="28" l="1"/>
  <c r="F40" i="28" s="1"/>
  <c r="I40" i="28"/>
  <c r="J40" i="28" l="1"/>
  <c r="G40" i="28"/>
  <c r="E41" i="28" l="1"/>
  <c r="H40" i="28"/>
  <c r="D41" i="28" l="1"/>
  <c r="F41" i="28" s="1"/>
  <c r="I41" i="28"/>
  <c r="J41" i="28" l="1"/>
  <c r="G41" i="28"/>
  <c r="E42" i="28" l="1"/>
  <c r="D42" i="28" l="1"/>
  <c r="F42" i="28" s="1"/>
  <c r="I42" i="28"/>
  <c r="J42" i="28" l="1"/>
  <c r="G42" i="28"/>
  <c r="E43" i="28" l="1"/>
  <c r="D43" i="28" s="1"/>
  <c r="F43" i="28" l="1"/>
  <c r="I43" i="28"/>
  <c r="J43" i="28" l="1"/>
  <c r="G43" i="28"/>
  <c r="E44" i="28" l="1"/>
  <c r="D44" i="28" s="1"/>
  <c r="F44" i="28" l="1"/>
  <c r="I44" i="28"/>
  <c r="J44" i="28" l="1"/>
  <c r="G44" i="28"/>
  <c r="E45" i="28" l="1"/>
  <c r="D45" i="28" s="1"/>
  <c r="F45" i="28" l="1"/>
  <c r="I45" i="28"/>
  <c r="J45" i="28" l="1"/>
  <c r="G45" i="28"/>
  <c r="E46" i="28" l="1"/>
  <c r="D46" i="28" s="1"/>
  <c r="F46" i="28" l="1"/>
  <c r="I46" i="28"/>
  <c r="J46" i="28" l="1"/>
  <c r="G46" i="28"/>
  <c r="E47" i="28" l="1"/>
  <c r="D47" i="28" s="1"/>
  <c r="F47" i="28" l="1"/>
  <c r="I47" i="28"/>
  <c r="J47" i="28" l="1"/>
  <c r="G47" i="28"/>
  <c r="E48" i="28" l="1"/>
  <c r="D48" i="28" s="1"/>
  <c r="F48" i="28" l="1"/>
  <c r="I48" i="28"/>
  <c r="J48" i="28" l="1"/>
  <c r="G48" i="28"/>
  <c r="E49" i="28" l="1"/>
  <c r="D49" i="28" s="1"/>
  <c r="F49" i="28" l="1"/>
  <c r="I49" i="28"/>
  <c r="J49" i="28" l="1"/>
  <c r="G49" i="28"/>
  <c r="E50" i="28" l="1"/>
  <c r="D50" i="28" s="1"/>
  <c r="F50" i="28" l="1"/>
  <c r="I50" i="28"/>
  <c r="J50" i="28" l="1"/>
  <c r="G50" i="28"/>
  <c r="E51" i="28" l="1"/>
  <c r="D51" i="28" s="1"/>
  <c r="F51" i="28" l="1"/>
  <c r="I51" i="28"/>
  <c r="J51" i="28" l="1"/>
  <c r="G51" i="28"/>
  <c r="E52" i="28" l="1"/>
  <c r="D52" i="28" s="1"/>
  <c r="F52" i="28" l="1"/>
  <c r="I52" i="28"/>
  <c r="J52" i="28" l="1"/>
  <c r="G52" i="28"/>
  <c r="H52" i="28" l="1"/>
  <c r="E53" i="28"/>
  <c r="F53" i="28" l="1"/>
  <c r="I53" i="28"/>
  <c r="J53" i="28" l="1"/>
  <c r="G53" i="28"/>
  <c r="E54" i="28" l="1"/>
  <c r="F54" i="28" l="1"/>
  <c r="I54" i="28"/>
  <c r="J54" i="28" l="1"/>
  <c r="G54" i="28"/>
  <c r="E55" i="28" l="1"/>
  <c r="F55" i="28" l="1"/>
  <c r="I55" i="28"/>
  <c r="J55" i="28" l="1"/>
  <c r="G55" i="28"/>
  <c r="E56" i="28" l="1"/>
  <c r="F56" i="28" l="1"/>
  <c r="I56" i="28"/>
  <c r="J56" i="28" l="1"/>
  <c r="G56" i="28"/>
  <c r="E57" i="28" l="1"/>
  <c r="F57" i="28" l="1"/>
  <c r="I57" i="28"/>
  <c r="J57" i="28" l="1"/>
  <c r="G57" i="28"/>
  <c r="E58" i="28" l="1"/>
  <c r="F58" i="28" l="1"/>
  <c r="I58" i="28"/>
  <c r="J58" i="28" l="1"/>
  <c r="G58" i="28"/>
  <c r="E59" i="28" l="1"/>
  <c r="F59" i="28" l="1"/>
  <c r="I59" i="28"/>
  <c r="J59" i="28" l="1"/>
  <c r="G59" i="28"/>
  <c r="E60" i="28" l="1"/>
  <c r="F60" i="28" l="1"/>
  <c r="I60" i="28"/>
  <c r="J60" i="28" l="1"/>
  <c r="G60" i="28"/>
  <c r="E61" i="28" l="1"/>
  <c r="F61" i="28" l="1"/>
  <c r="I61" i="28"/>
  <c r="J61" i="28" l="1"/>
  <c r="G61" i="28"/>
  <c r="E62" i="28" l="1"/>
  <c r="F62" i="28" l="1"/>
  <c r="I62" i="28"/>
  <c r="J62" i="28" l="1"/>
  <c r="G62" i="28"/>
  <c r="E63" i="28" l="1"/>
  <c r="F63" i="28" l="1"/>
  <c r="I63" i="28"/>
  <c r="J63" i="28" l="1"/>
  <c r="G63" i="28"/>
  <c r="E64" i="28" l="1"/>
  <c r="F64" i="28" l="1"/>
  <c r="I64" i="28"/>
  <c r="J64" i="28" l="1"/>
  <c r="G64" i="28"/>
  <c r="E65" i="28" l="1"/>
  <c r="H64" i="28"/>
  <c r="F65" i="28" l="1"/>
  <c r="I65" i="28"/>
  <c r="J65" i="28" l="1"/>
  <c r="G65" i="28"/>
  <c r="E66" i="28" l="1"/>
  <c r="F66" i="28" l="1"/>
  <c r="I66" i="28"/>
  <c r="J66" i="28" l="1"/>
  <c r="G66" i="28"/>
  <c r="E67" i="28" l="1"/>
  <c r="F67" i="28" l="1"/>
  <c r="I67" i="28"/>
  <c r="J67" i="28" l="1"/>
  <c r="G67" i="28"/>
  <c r="E68" i="28" l="1"/>
  <c r="F68" i="28" l="1"/>
  <c r="I68" i="28"/>
  <c r="J68" i="28" l="1"/>
  <c r="G68" i="28"/>
  <c r="E69" i="28" l="1"/>
  <c r="F69" i="28" l="1"/>
  <c r="I69" i="28"/>
  <c r="J69" i="28" l="1"/>
  <c r="G69" i="28"/>
  <c r="E70" i="28" l="1"/>
  <c r="F70" i="28" l="1"/>
  <c r="I70" i="28"/>
  <c r="J70" i="28" l="1"/>
  <c r="G70" i="28"/>
  <c r="E71" i="28" l="1"/>
  <c r="F71" i="28" l="1"/>
  <c r="I71" i="28"/>
  <c r="J71" i="28" l="1"/>
  <c r="G71" i="28"/>
  <c r="E72" i="28" l="1"/>
  <c r="F72" i="28" l="1"/>
  <c r="I72" i="28"/>
  <c r="J72" i="28" l="1"/>
  <c r="G72" i="28"/>
  <c r="E73" i="28" l="1"/>
  <c r="F73" i="28" l="1"/>
  <c r="I73" i="28"/>
  <c r="J73" i="28" l="1"/>
  <c r="G73" i="28"/>
  <c r="E74" i="28" l="1"/>
  <c r="F74" i="28" l="1"/>
  <c r="I74" i="28"/>
  <c r="J74" i="28" l="1"/>
  <c r="G74" i="28"/>
  <c r="E75" i="28" l="1"/>
  <c r="F75" i="28" l="1"/>
  <c r="I75" i="28"/>
  <c r="J75" i="28" l="1"/>
  <c r="G75" i="28"/>
  <c r="E76" i="28" l="1"/>
  <c r="F76" i="28" l="1"/>
  <c r="I76" i="28"/>
  <c r="J76" i="28" l="1"/>
  <c r="G76" i="28"/>
  <c r="H76" i="28" l="1"/>
  <c r="E77" i="28"/>
  <c r="F77" i="28" l="1"/>
  <c r="I77" i="28"/>
  <c r="J77" i="28" l="1"/>
  <c r="G77" i="28"/>
  <c r="E78" i="28" l="1"/>
  <c r="F78" i="28" l="1"/>
  <c r="I78" i="28"/>
  <c r="J78" i="28" l="1"/>
  <c r="G78" i="28"/>
  <c r="E79" i="28" l="1"/>
  <c r="F79" i="28" l="1"/>
  <c r="I79" i="28"/>
  <c r="J79" i="28" l="1"/>
  <c r="G79" i="28"/>
  <c r="E80" i="28" l="1"/>
  <c r="F80" i="28" l="1"/>
  <c r="I80" i="28"/>
  <c r="J80" i="28" l="1"/>
  <c r="G80" i="28"/>
  <c r="E81" i="28" l="1"/>
  <c r="F81" i="28" l="1"/>
  <c r="I81" i="28"/>
  <c r="J81" i="28" l="1"/>
  <c r="G81" i="28"/>
  <c r="E82" i="28" l="1"/>
  <c r="F82" i="28" l="1"/>
  <c r="I82" i="28"/>
  <c r="J82" i="28" l="1"/>
  <c r="G82" i="28"/>
  <c r="E83" i="28" l="1"/>
  <c r="F83" i="28" l="1"/>
  <c r="I83" i="28"/>
  <c r="J83" i="28" l="1"/>
  <c r="G83" i="28"/>
  <c r="E84" i="28" l="1"/>
  <c r="F84" i="28" l="1"/>
  <c r="I84" i="28"/>
  <c r="J84" i="28" l="1"/>
  <c r="G84" i="28"/>
  <c r="E85" i="28" l="1"/>
  <c r="F85" i="28" l="1"/>
  <c r="I85" i="28"/>
  <c r="J85" i="28" l="1"/>
  <c r="G85" i="28"/>
  <c r="E86" i="28" l="1"/>
  <c r="F86" i="28" l="1"/>
  <c r="I86" i="28"/>
  <c r="J86" i="28" l="1"/>
  <c r="G86" i="28"/>
  <c r="E87" i="28" l="1"/>
  <c r="F87" i="28" l="1"/>
  <c r="I87" i="28"/>
  <c r="J87" i="28" l="1"/>
  <c r="G87" i="28"/>
  <c r="E88" i="28" l="1"/>
  <c r="F88" i="28" l="1"/>
  <c r="I88" i="28"/>
  <c r="J88" i="28" l="1"/>
  <c r="G88" i="28"/>
  <c r="H88" i="28" l="1"/>
  <c r="E89" i="28"/>
  <c r="F89" i="28" l="1"/>
  <c r="I89" i="28"/>
  <c r="J89" i="28" l="1"/>
  <c r="G89" i="28"/>
  <c r="E90" i="28" l="1"/>
  <c r="F90" i="28" l="1"/>
  <c r="I90" i="28"/>
  <c r="J90" i="28" l="1"/>
  <c r="G90" i="28"/>
  <c r="E91" i="28" l="1"/>
  <c r="F91" i="28" l="1"/>
  <c r="I91" i="28"/>
  <c r="J91" i="28" l="1"/>
  <c r="G91" i="28"/>
  <c r="E92" i="28" l="1"/>
  <c r="F92" i="28" l="1"/>
  <c r="I92" i="28"/>
  <c r="J92" i="28" l="1"/>
  <c r="G92" i="28"/>
  <c r="E93" i="28" l="1"/>
  <c r="F93" i="28" l="1"/>
  <c r="I93" i="28"/>
  <c r="J93" i="28" l="1"/>
  <c r="G93" i="28"/>
  <c r="E94" i="28" l="1"/>
  <c r="F94" i="28" l="1"/>
  <c r="I94" i="28"/>
  <c r="J94" i="28" l="1"/>
  <c r="G94" i="28"/>
  <c r="E95" i="28" l="1"/>
  <c r="F95" i="28" l="1"/>
  <c r="I95" i="28"/>
  <c r="J95" i="28" l="1"/>
  <c r="G95" i="28"/>
  <c r="E96" i="28" l="1"/>
  <c r="F96" i="28" l="1"/>
  <c r="I96" i="28"/>
  <c r="J96" i="28" l="1"/>
  <c r="G96" i="28"/>
  <c r="E97" i="28" l="1"/>
  <c r="F97" i="28" l="1"/>
  <c r="I97" i="28"/>
  <c r="J97" i="28" l="1"/>
  <c r="G97" i="28"/>
  <c r="E98" i="28" l="1"/>
  <c r="F98" i="28" l="1"/>
  <c r="I98" i="28"/>
  <c r="J98" i="28" l="1"/>
  <c r="G98" i="28"/>
  <c r="E99" i="28" l="1"/>
  <c r="F99" i="28" l="1"/>
  <c r="I99" i="28"/>
  <c r="J99" i="28" l="1"/>
  <c r="G99" i="28"/>
  <c r="E100" i="28" l="1"/>
  <c r="F100" i="28" l="1"/>
  <c r="I100" i="28"/>
  <c r="J100" i="28" l="1"/>
  <c r="G100" i="28"/>
  <c r="H100" i="28" l="1"/>
  <c r="E101" i="28"/>
  <c r="F101" i="28" l="1"/>
  <c r="I101" i="28"/>
  <c r="J101" i="28" l="1"/>
  <c r="G101" i="28"/>
  <c r="E102" i="28" l="1"/>
  <c r="F102" i="28" l="1"/>
  <c r="I102" i="28"/>
  <c r="J102" i="28" l="1"/>
  <c r="G102" i="28"/>
  <c r="E103" i="28" l="1"/>
  <c r="F103" i="28" l="1"/>
  <c r="I103" i="28"/>
  <c r="J103" i="28" l="1"/>
  <c r="G103" i="28"/>
  <c r="E104" i="28" l="1"/>
  <c r="F104" i="28" l="1"/>
  <c r="I104" i="28"/>
  <c r="J104" i="28" l="1"/>
  <c r="G104" i="28"/>
  <c r="E105" i="28" l="1"/>
  <c r="F105" i="28" l="1"/>
  <c r="I105" i="28"/>
  <c r="J105" i="28" l="1"/>
  <c r="G105" i="28"/>
  <c r="E106" i="28" l="1"/>
  <c r="F106" i="28" l="1"/>
  <c r="I106" i="28"/>
  <c r="J106" i="28" l="1"/>
  <c r="G106" i="28"/>
  <c r="E107" i="28" l="1"/>
  <c r="F107" i="28" l="1"/>
  <c r="I107" i="28"/>
  <c r="J107" i="28" l="1"/>
  <c r="G107" i="28"/>
  <c r="E108" i="28" l="1"/>
  <c r="F108" i="28" l="1"/>
  <c r="I108" i="28"/>
  <c r="J108" i="28" l="1"/>
  <c r="G108" i="28"/>
  <c r="E109" i="28" l="1"/>
  <c r="F109" i="28" l="1"/>
  <c r="I109" i="28"/>
  <c r="J109" i="28" l="1"/>
  <c r="G109" i="28"/>
  <c r="E110" i="28" l="1"/>
  <c r="F110" i="28" l="1"/>
  <c r="I110" i="28"/>
  <c r="J110" i="28" l="1"/>
  <c r="G110" i="28"/>
  <c r="E111" i="28" l="1"/>
  <c r="F111" i="28" l="1"/>
  <c r="I111" i="28"/>
  <c r="J111" i="28" l="1"/>
  <c r="G111" i="28"/>
  <c r="E112" i="28" l="1"/>
  <c r="F112" i="28" l="1"/>
  <c r="I112" i="28"/>
  <c r="J112" i="28" l="1"/>
  <c r="G112" i="28"/>
  <c r="H112" i="28" l="1"/>
  <c r="E113" i="28"/>
  <c r="F113" i="28" l="1"/>
  <c r="I113" i="28"/>
  <c r="J113" i="28" l="1"/>
  <c r="G113" i="28"/>
  <c r="E114" i="28" l="1"/>
  <c r="F114" i="28" l="1"/>
  <c r="I114" i="28"/>
  <c r="J114" i="28" l="1"/>
  <c r="G114" i="28"/>
  <c r="E115" i="28" l="1"/>
  <c r="F115" i="28" l="1"/>
  <c r="I115" i="28"/>
  <c r="J115" i="28" l="1"/>
  <c r="G115" i="28"/>
  <c r="E116" i="28" l="1"/>
  <c r="F116" i="28" l="1"/>
  <c r="I116" i="28"/>
  <c r="J116" i="28" l="1"/>
  <c r="G116" i="28"/>
  <c r="E117" i="28" l="1"/>
  <c r="F117" i="28" l="1"/>
  <c r="I117" i="28"/>
  <c r="J117" i="28" l="1"/>
  <c r="G117" i="28"/>
  <c r="E118" i="28" l="1"/>
  <c r="F118" i="28" l="1"/>
  <c r="I118" i="28"/>
  <c r="J118" i="28" l="1"/>
  <c r="G118" i="28"/>
  <c r="E119" i="28" l="1"/>
  <c r="F119" i="28" l="1"/>
  <c r="I119" i="28"/>
  <c r="J119" i="28" l="1"/>
  <c r="G119" i="28"/>
  <c r="E120" i="28" l="1"/>
  <c r="F120" i="28" l="1"/>
  <c r="I120" i="28"/>
  <c r="J120" i="28" l="1"/>
  <c r="G120" i="28"/>
  <c r="E121" i="28" l="1"/>
  <c r="F121" i="28" l="1"/>
  <c r="I121" i="28"/>
  <c r="J121" i="28" l="1"/>
  <c r="G121" i="28"/>
  <c r="E122" i="28" l="1"/>
  <c r="F122" i="28" l="1"/>
  <c r="I122" i="28"/>
  <c r="J122" i="28" l="1"/>
  <c r="G122" i="28"/>
  <c r="E123" i="28" l="1"/>
  <c r="F123" i="28" l="1"/>
  <c r="I123" i="28"/>
  <c r="J123" i="28" l="1"/>
  <c r="G123" i="28"/>
  <c r="E124" i="28" l="1"/>
  <c r="F124" i="28" l="1"/>
  <c r="I124" i="28"/>
  <c r="J124" i="28" l="1"/>
  <c r="G124" i="28"/>
  <c r="E125" i="28" l="1"/>
  <c r="H124" i="28"/>
  <c r="F125" i="28" l="1"/>
  <c r="I125" i="28"/>
  <c r="J125" i="28" l="1"/>
  <c r="G125" i="28"/>
  <c r="E126" i="28" l="1"/>
  <c r="F126" i="28" l="1"/>
  <c r="I126" i="28"/>
  <c r="J126" i="28" l="1"/>
  <c r="G126" i="28"/>
  <c r="E127" i="28" l="1"/>
  <c r="F127" i="28" l="1"/>
  <c r="I127" i="28"/>
  <c r="J127" i="28" l="1"/>
  <c r="G127" i="28"/>
  <c r="E128" i="28" l="1"/>
  <c r="F128" i="28" l="1"/>
  <c r="I128" i="28"/>
  <c r="J128" i="28" l="1"/>
  <c r="G128" i="28"/>
  <c r="E129" i="28" l="1"/>
  <c r="F129" i="28" l="1"/>
  <c r="I129" i="28"/>
  <c r="J129" i="28" l="1"/>
  <c r="G129" i="28"/>
  <c r="E130" i="28" l="1"/>
  <c r="F130" i="28" l="1"/>
  <c r="I130" i="28"/>
  <c r="J130" i="28" l="1"/>
  <c r="G130" i="28"/>
  <c r="E131" i="28" l="1"/>
  <c r="F131" i="28" l="1"/>
  <c r="I131" i="28"/>
  <c r="J131" i="28" l="1"/>
  <c r="G131" i="28"/>
  <c r="E132" i="28" l="1"/>
  <c r="F132" i="28" l="1"/>
  <c r="I132" i="28"/>
  <c r="J132" i="28" l="1"/>
  <c r="G132" i="28"/>
  <c r="E133" i="28" l="1"/>
  <c r="F133" i="28" l="1"/>
  <c r="I133" i="28"/>
  <c r="J133" i="28" l="1"/>
  <c r="G133" i="28"/>
  <c r="E134" i="28" l="1"/>
  <c r="F134" i="28" l="1"/>
  <c r="I134" i="28"/>
  <c r="J134" i="28" l="1"/>
  <c r="G134" i="28"/>
  <c r="E135" i="28" l="1"/>
  <c r="F135" i="28" l="1"/>
  <c r="I135" i="28"/>
  <c r="J135" i="28" l="1"/>
  <c r="G135" i="28"/>
  <c r="E136" i="28" l="1"/>
  <c r="F136" i="28" l="1"/>
  <c r="I136" i="28"/>
  <c r="J136" i="28" l="1"/>
  <c r="G136" i="28"/>
  <c r="H136" i="28" l="1"/>
  <c r="E137" i="28"/>
  <c r="F137" i="28" l="1"/>
  <c r="I137" i="28"/>
  <c r="J137" i="28" l="1"/>
  <c r="G137" i="28"/>
  <c r="E138" i="28" l="1"/>
  <c r="F138" i="28" l="1"/>
  <c r="I138" i="28"/>
  <c r="J138" i="28" l="1"/>
  <c r="G138" i="28"/>
  <c r="E139" i="28" l="1"/>
  <c r="F139" i="28" l="1"/>
  <c r="I139" i="28"/>
  <c r="J139" i="28" l="1"/>
  <c r="G139" i="28"/>
  <c r="E140" i="28" l="1"/>
  <c r="F140" i="28" l="1"/>
  <c r="I140" i="28"/>
  <c r="J140" i="28" l="1"/>
  <c r="G140" i="28"/>
  <c r="E141" i="28" l="1"/>
  <c r="F141" i="28" l="1"/>
  <c r="I141" i="28"/>
  <c r="J141" i="28" l="1"/>
  <c r="G141" i="28"/>
  <c r="E142" i="28" l="1"/>
  <c r="F142" i="28" l="1"/>
  <c r="I142" i="28"/>
  <c r="J142" i="28" l="1"/>
  <c r="G142" i="28"/>
  <c r="E143" i="28" l="1"/>
  <c r="F143" i="28" l="1"/>
  <c r="I143" i="28"/>
  <c r="J143" i="28" l="1"/>
  <c r="G143" i="28"/>
  <c r="E144" i="28" l="1"/>
  <c r="F144" i="28" l="1"/>
  <c r="I144" i="28"/>
  <c r="J144" i="28" l="1"/>
  <c r="G144" i="28"/>
  <c r="E145" i="28" l="1"/>
  <c r="F145" i="28" l="1"/>
  <c r="I145" i="28"/>
  <c r="J145" i="28" l="1"/>
  <c r="G145" i="28"/>
  <c r="E146" i="28" l="1"/>
  <c r="F146" i="28" l="1"/>
  <c r="I146" i="28"/>
  <c r="J146" i="28" l="1"/>
  <c r="G146" i="28"/>
  <c r="E147" i="28" l="1"/>
  <c r="F147" i="28" l="1"/>
  <c r="I147" i="28"/>
  <c r="J147" i="28" l="1"/>
  <c r="G147" i="28"/>
  <c r="E148" i="28" l="1"/>
  <c r="F148" i="28" l="1"/>
  <c r="I148" i="28"/>
  <c r="J148" i="28" l="1"/>
  <c r="G148" i="28"/>
  <c r="H148" i="28" s="1"/>
  <c r="K27" i="1"/>
  <c r="L34" i="1" s="1"/>
  <c r="M34" i="1" l="1"/>
  <c r="L35" i="1"/>
  <c r="E23" i="1" l="1"/>
  <c r="M35" i="1"/>
  <c r="E21" i="1" l="1"/>
  <c r="E58" i="1" l="1"/>
  <c r="L11" i="1"/>
  <c r="E22" i="1"/>
  <c r="L12" i="1" s="1"/>
  <c r="M84" i="1" l="1"/>
  <c r="N98" i="1"/>
  <c r="C98" i="1"/>
  <c r="F84" i="1"/>
  <c r="N84" i="1"/>
  <c r="J84" i="1"/>
  <c r="D98" i="1"/>
  <c r="J98" i="1"/>
  <c r="H98" i="1"/>
  <c r="I98" i="1"/>
  <c r="C84" i="1"/>
  <c r="M12" i="1"/>
  <c r="K84" i="1"/>
  <c r="F98" i="1"/>
  <c r="G98" i="1"/>
  <c r="O98" i="1"/>
  <c r="L84" i="1"/>
  <c r="O84" i="1"/>
  <c r="E98" i="1"/>
  <c r="K98" i="1"/>
  <c r="E84" i="1"/>
  <c r="H84" i="1"/>
  <c r="G84" i="1"/>
  <c r="M98" i="1"/>
  <c r="I84" i="1"/>
  <c r="D84" i="1"/>
  <c r="L98" i="1"/>
  <c r="J56" i="1"/>
  <c r="O55" i="1"/>
  <c r="M11" i="1"/>
  <c r="N56" i="1"/>
  <c r="G56" i="1"/>
  <c r="H56" i="1"/>
  <c r="L55" i="1"/>
  <c r="G55" i="1"/>
  <c r="M55" i="1"/>
  <c r="L13" i="1"/>
  <c r="K56" i="1"/>
  <c r="O56" i="1"/>
  <c r="I56" i="1"/>
  <c r="L56" i="1"/>
  <c r="J55" i="1"/>
  <c r="F55" i="1"/>
  <c r="F56" i="1" s="1"/>
  <c r="N55" i="1"/>
  <c r="K55" i="1"/>
  <c r="F60" i="1"/>
  <c r="M56" i="1"/>
  <c r="H55" i="1"/>
  <c r="I55" i="1"/>
  <c r="F61" i="1" l="1"/>
  <c r="F63" i="1" s="1"/>
  <c r="F64" i="1" s="1"/>
  <c r="G60" i="1" s="1"/>
  <c r="M13" i="1"/>
  <c r="N20" i="1"/>
  <c r="N16" i="1"/>
  <c r="N12" i="1"/>
  <c r="N8" i="1"/>
  <c r="N13" i="1"/>
  <c r="N34" i="1"/>
  <c r="N17" i="1"/>
  <c r="N10" i="1"/>
  <c r="N18" i="1"/>
  <c r="N9" i="1"/>
  <c r="N19" i="1"/>
  <c r="N11" i="1"/>
  <c r="N35" i="1"/>
  <c r="G61" i="1" l="1"/>
  <c r="G63" i="1" s="1"/>
  <c r="G64" i="1" s="1"/>
  <c r="H60" i="1" s="1"/>
  <c r="H61" i="1" l="1"/>
  <c r="H63" i="1" s="1"/>
  <c r="H64" i="1" s="1"/>
  <c r="I60" i="1" s="1"/>
  <c r="I61" i="1" l="1"/>
  <c r="I63" i="1" s="1"/>
  <c r="I64" i="1" s="1"/>
  <c r="J60" i="1" s="1"/>
  <c r="J61" i="1" l="1"/>
  <c r="J63" i="1" s="1"/>
  <c r="J64" i="1" s="1"/>
  <c r="K60" i="1" s="1"/>
  <c r="K61" i="1" l="1"/>
  <c r="K63" i="1" s="1"/>
  <c r="K64" i="1" s="1"/>
  <c r="L60" i="1" s="1"/>
  <c r="L61" i="1" l="1"/>
  <c r="L63" i="1" s="1"/>
  <c r="L64" i="1" s="1"/>
  <c r="M60" i="1" s="1"/>
  <c r="M61" i="1" l="1"/>
  <c r="M63" i="1" s="1"/>
  <c r="M64" i="1" s="1"/>
  <c r="N60" i="1" s="1"/>
  <c r="N61" i="1" l="1"/>
  <c r="N63" i="1" s="1"/>
  <c r="N64" i="1" s="1"/>
  <c r="O60" i="1" s="1"/>
  <c r="O61" i="1" l="1"/>
  <c r="O63" i="1" s="1"/>
  <c r="O64" i="1" s="1"/>
  <c r="O65" i="1" s="1"/>
  <c r="E80" i="1" l="1"/>
  <c r="E81" i="1" s="1"/>
  <c r="E82" i="1" s="1"/>
  <c r="C80" i="1"/>
  <c r="C81" i="1" s="1"/>
  <c r="C82" i="1" s="1"/>
  <c r="H97" i="1"/>
  <c r="H99" i="1" s="1"/>
  <c r="N97" i="1"/>
  <c r="N99" i="1" s="1"/>
  <c r="O58" i="1"/>
  <c r="D58" i="1" s="1"/>
  <c r="G97" i="1"/>
  <c r="G99" i="1" s="1"/>
  <c r="H80" i="1"/>
  <c r="H81" i="1" s="1"/>
  <c r="H82" i="1" s="1"/>
  <c r="F80" i="1"/>
  <c r="F81" i="1" s="1"/>
  <c r="F82" i="1" s="1"/>
  <c r="I80" i="1"/>
  <c r="I81" i="1" s="1"/>
  <c r="I82" i="1" s="1"/>
  <c r="K80" i="1"/>
  <c r="K81" i="1" s="1"/>
  <c r="K82" i="1" s="1"/>
  <c r="J97" i="1"/>
  <c r="J99" i="1" s="1"/>
  <c r="M97" i="1"/>
  <c r="M99" i="1" s="1"/>
  <c r="E97" i="1"/>
  <c r="E99" i="1" s="1"/>
  <c r="F97" i="1"/>
  <c r="F99" i="1" s="1"/>
  <c r="M80" i="1"/>
  <c r="M81" i="1" s="1"/>
  <c r="M82" i="1" s="1"/>
  <c r="G80" i="1"/>
  <c r="G81" i="1" s="1"/>
  <c r="G82" i="1" s="1"/>
  <c r="O97" i="1"/>
  <c r="O99" i="1" s="1"/>
  <c r="D80" i="1"/>
  <c r="D81" i="1" s="1"/>
  <c r="D82" i="1" s="1"/>
  <c r="D97" i="1"/>
  <c r="D99" i="1" s="1"/>
  <c r="I97" i="1"/>
  <c r="I99" i="1" s="1"/>
  <c r="L97" i="1"/>
  <c r="L99" i="1" s="1"/>
  <c r="N80" i="1"/>
  <c r="N81" i="1" s="1"/>
  <c r="N82" i="1" s="1"/>
  <c r="C97" i="1"/>
  <c r="C99" i="1" s="1"/>
  <c r="J80" i="1"/>
  <c r="J81" i="1" s="1"/>
  <c r="J82" i="1" s="1"/>
  <c r="K97" i="1"/>
  <c r="K99" i="1" s="1"/>
  <c r="L80" i="1"/>
  <c r="L81" i="1" s="1"/>
  <c r="L82" i="1" s="1"/>
  <c r="O80" i="1"/>
  <c r="O81" i="1" s="1"/>
  <c r="O82" i="1" s="1"/>
  <c r="G85" i="1" l="1"/>
  <c r="G86" i="1" s="1"/>
  <c r="G88" i="1" s="1"/>
  <c r="G87" i="1"/>
  <c r="G83" i="1"/>
  <c r="H87" i="1"/>
  <c r="H85" i="1"/>
  <c r="H86" i="1" s="1"/>
  <c r="H88" i="1" s="1"/>
  <c r="H83" i="1"/>
  <c r="C87" i="1"/>
  <c r="C85" i="1"/>
  <c r="C86" i="1" s="1"/>
  <c r="C88" i="1" s="1"/>
  <c r="C83" i="1"/>
  <c r="J87" i="1"/>
  <c r="J85" i="1"/>
  <c r="J86" i="1" s="1"/>
  <c r="J88" i="1" s="1"/>
  <c r="J83" i="1"/>
  <c r="F85" i="1"/>
  <c r="F86" i="1" s="1"/>
  <c r="F88" i="1" s="1"/>
  <c r="F83" i="1"/>
  <c r="F87" i="1"/>
  <c r="M83" i="1"/>
  <c r="M85" i="1"/>
  <c r="M86" i="1" s="1"/>
  <c r="M88" i="1" s="1"/>
  <c r="M87" i="1"/>
  <c r="N83" i="1"/>
  <c r="N87" i="1"/>
  <c r="N85" i="1"/>
  <c r="N86" i="1" s="1"/>
  <c r="N88" i="1" s="1"/>
  <c r="O87" i="1"/>
  <c r="O85" i="1"/>
  <c r="O86" i="1" s="1"/>
  <c r="O88" i="1" s="1"/>
  <c r="O83" i="1"/>
  <c r="L83" i="1"/>
  <c r="L85" i="1"/>
  <c r="L86" i="1" s="1"/>
  <c r="L88" i="1" s="1"/>
  <c r="L87" i="1"/>
  <c r="D85" i="1"/>
  <c r="D86" i="1" s="1"/>
  <c r="D88" i="1" s="1"/>
  <c r="D83" i="1"/>
  <c r="D87" i="1"/>
  <c r="K85" i="1"/>
  <c r="K86" i="1" s="1"/>
  <c r="K88" i="1" s="1"/>
  <c r="K83" i="1"/>
  <c r="K87" i="1"/>
  <c r="I87" i="1"/>
  <c r="I85" i="1"/>
  <c r="I86" i="1" s="1"/>
  <c r="I88" i="1" s="1"/>
  <c r="I83" i="1"/>
  <c r="E83" i="1"/>
  <c r="E85" i="1"/>
  <c r="E86" i="1" s="1"/>
  <c r="E88" i="1" s="1"/>
  <c r="E8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tc={021E6932-9311-4AB6-8957-91D53D5B747B}</author>
    <author>tc={34CD26AF-F90B-4E78-B4DA-3296AD633022}</author>
    <author>tc={60C5D8D9-5986-40B5-840A-DEEE4C254BED}</author>
    <author>tc={FC2D9DD4-DF16-48E2-9394-C58A8B787106}</author>
    <author>tc={50BFB601-8ED8-4659-9636-5CEEC1B58A90}</author>
    <author>tc={CA3FCAE3-14F8-47EC-8D35-9D483EC64B0A}</author>
    <author>tc={4A628ADC-DEA6-4C93-903A-07BB226781DD}</author>
    <author>tc={3308FC96-3CF8-407D-9467-34F6ECBAFE46}</author>
    <author>John Errigo</author>
  </authors>
  <commentList>
    <comment ref="J18" authorId="0" shapeId="0" xr:uid="{021E6932-9311-4AB6-8957-91D53D5B747B}">
      <text>
        <t>[Threaded comment]
Your version of Excel allows you to read this threaded comment; however, any edits to it will get removed if the file is opened in a newer version of Excel. Learn more: https://go.microsoft.com/fwlink/?linkid=870924
Comment:
    Fund Minimum of 3 Months.</t>
      </text>
    </comment>
    <comment ref="J29" authorId="1" shapeId="0" xr:uid="{34CD26AF-F90B-4E78-B4DA-3296AD633022}">
      <text>
        <t>[Threaded comment]
Your version of Excel allows you to read this threaded comment; however, any edits to it will get removed if the file is opened in a newer version of Excel. Learn more: https://go.microsoft.com/fwlink/?linkid=870924
Comment:
    Fund Maximum is 1.00%.</t>
      </text>
    </comment>
    <comment ref="J30" authorId="2" shapeId="0" xr:uid="{60C5D8D9-5986-40B5-840A-DEEE4C254BED}">
      <text>
        <t>[Threaded comment]
Your version of Excel allows you to read this threaded comment; however, any edits to it will get removed if the file is opened in a newer version of Excel. Learn more: https://go.microsoft.com/fwlink/?linkid=870924
Comment:
    Fund Maximum is 1.50%.</t>
      </text>
    </comment>
    <comment ref="O65" authorId="3" shapeId="0" xr:uid="{FC2D9DD4-DF16-48E2-9394-C58A8B787106}">
      <text>
        <t>[Threaded comment]
Your version of Excel allows you to read this threaded comment; however, any edits to it will get removed if the file is opened in a newer version of Excel. Learn more: https://go.microsoft.com/fwlink/?linkid=870924
Comment:
    NOAH Impact Fund Requires Return of Capital + Hurdle Rate Look Back.</t>
      </text>
    </comment>
    <comment ref="G106" authorId="4" shapeId="0" xr:uid="{50BFB601-8ED8-4659-9636-5CEEC1B58A90}">
      <text>
        <t>[Threaded comment]
Your version of Excel allows you to read this threaded comment; however, any edits to it will get removed if the file is opened in a newer version of Excel. Learn more: https://go.microsoft.com/fwlink/?linkid=870924
Comment:
    Reflects Property Improvements.</t>
      </text>
    </comment>
    <comment ref="H106" authorId="5" shapeId="0" xr:uid="{CA3FCAE3-14F8-47EC-8D35-9D483EC64B0A}">
      <text>
        <t>[Threaded comment]
Your version of Excel allows you to read this threaded comment; however, any edits to it will get removed if the file is opened in a newer version of Excel. Learn more: https://go.microsoft.com/fwlink/?linkid=870924
Comment:
    Reflects Property Improvements.</t>
      </text>
    </comment>
    <comment ref="I106" authorId="6" shapeId="0" xr:uid="{4A628ADC-DEA6-4C93-903A-07BB226781DD}">
      <text>
        <t>[Threaded comment]
Your version of Excel allows you to read this threaded comment; however, any edits to it will get removed if the file is opened in a newer version of Excel. Learn more: https://go.microsoft.com/fwlink/?linkid=870924
Comment:
    Reflects GMHF Underwriting Requirement.</t>
      </text>
    </comment>
    <comment ref="F111" authorId="7" shapeId="0" xr:uid="{3308FC96-3CF8-407D-9467-34F6ECBAFE46}">
      <text>
        <t>[Threaded comment]
Your version of Excel allows you to read this threaded comment; however, any edits to it will get removed if the file is opened in a newer version of Excel. Learn more: https://go.microsoft.com/fwlink/?linkid=870924
Comment:
    Vacancy Loss to be validated by track record.  Fund may assume 90% economic occupancy in Year1, 93% economic occupancy in Year 2, and 95% economic occupancy in Years 3+.</t>
      </text>
    </comment>
    <comment ref="A126" authorId="8" shapeId="0" xr:uid="{685A54E9-E46F-43D1-80A9-FF36ED1AAE7C}">
      <text>
        <r>
          <rPr>
            <b/>
            <sz val="10"/>
            <color indexed="81"/>
            <rFont val="Calibri"/>
            <family val="2"/>
            <scheme val="minor"/>
          </rPr>
          <t>CHOOSE ONE, EITHER FIXED AMOUNT WITH ANNUAL INFLATOR OR FEE AS A PERCENTAGE OF INCOME.</t>
        </r>
      </text>
    </comment>
    <comment ref="A127" authorId="8" shapeId="0" xr:uid="{4358EE91-92D3-4C76-8034-C75168634680}">
      <text>
        <r>
          <rPr>
            <b/>
            <sz val="10"/>
            <color indexed="81"/>
            <rFont val="Calibri"/>
            <family val="2"/>
            <scheme val="minor"/>
          </rPr>
          <t>CHOOSE ONE, EITHER FIXED AMOUNT WITH ANNUAL INFLATOR OR FEE AS A PERCENTAGE OF INCOME.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<sst xmlns="http://schemas.openxmlformats.org/spreadsheetml/2006/main" count="363" uniqueCount="259">
  <si>
    <t>TRANSACTION SUMMARY</t>
  </si>
  <si>
    <t>SOURCES AND USES</t>
  </si>
  <si>
    <t>SENIOR DEBT</t>
  </si>
  <si>
    <t>YEAR</t>
  </si>
  <si>
    <t xml:space="preserve"> </t>
  </si>
  <si>
    <t>Total</t>
  </si>
  <si>
    <t>Per Unit</t>
  </si>
  <si>
    <t>DSCR</t>
  </si>
  <si>
    <t>m67 on GMHF model</t>
  </si>
  <si>
    <t>Studio</t>
  </si>
  <si>
    <t>1BR</t>
  </si>
  <si>
    <t>2BR</t>
  </si>
  <si>
    <t>3BR</t>
  </si>
  <si>
    <t>Treat Equity as a Loan:  Starting Balance</t>
  </si>
  <si>
    <t>Treat Equity as a Loan:  Ending Balance</t>
  </si>
  <si>
    <t>Unit Type</t>
  </si>
  <si>
    <t>50% AMI</t>
  </si>
  <si>
    <t>60% AMI</t>
  </si>
  <si>
    <t>Freddie Mac Loan</t>
  </si>
  <si>
    <t>SENIOR DEBT AMORTIZATION</t>
  </si>
  <si>
    <t>Loan Amount</t>
  </si>
  <si>
    <t>Term (Years)</t>
  </si>
  <si>
    <t>Amortization (Months)</t>
  </si>
  <si>
    <t>Interest Rate</t>
  </si>
  <si>
    <t>Debt Constant</t>
  </si>
  <si>
    <t>Monthly Payment - Interest Only</t>
  </si>
  <si>
    <t>Annual Debt Service - Interest Only</t>
  </si>
  <si>
    <t>Monthly Payment - Full Amortization</t>
  </si>
  <si>
    <t>Annual Debt Service - Full Amortization</t>
  </si>
  <si>
    <t>Interest Only Period (Months)</t>
  </si>
  <si>
    <t>Period</t>
  </si>
  <si>
    <t xml:space="preserve">End of Term </t>
  </si>
  <si>
    <t>T12</t>
  </si>
  <si>
    <t>Ending</t>
  </si>
  <si>
    <t>Date</t>
  </si>
  <si>
    <t>Payment</t>
  </si>
  <si>
    <t>Interest</t>
  </si>
  <si>
    <t>Principal</t>
  </si>
  <si>
    <t>30% AMI</t>
  </si>
  <si>
    <t>40% AMI</t>
  </si>
  <si>
    <t>80% AMI</t>
  </si>
  <si>
    <t>AMI</t>
  </si>
  <si>
    <t>Market Rate</t>
  </si>
  <si>
    <t>Drop
Down
Menus</t>
  </si>
  <si>
    <r>
      <rPr>
        <b/>
        <sz val="12"/>
        <color theme="9" tint="-0.249977111117893"/>
        <rFont val="Calibri"/>
        <family val="2"/>
      </rPr>
      <t xml:space="preserve">GOOD </t>
    </r>
    <r>
      <rPr>
        <sz val="12"/>
        <color theme="1"/>
        <rFont val="Calibri"/>
        <family val="2"/>
      </rPr>
      <t xml:space="preserve">(&gt;0) / </t>
    </r>
    <r>
      <rPr>
        <b/>
        <sz val="12"/>
        <color theme="7" tint="-0.249977111117893"/>
        <rFont val="Calibri"/>
        <family val="2"/>
      </rPr>
      <t xml:space="preserve">ASSESS FURTHER </t>
    </r>
    <r>
      <rPr>
        <sz val="12"/>
        <color theme="1"/>
        <rFont val="Calibri"/>
        <family val="2"/>
      </rPr>
      <t>(&lt;0)</t>
    </r>
  </si>
  <si>
    <r>
      <rPr>
        <b/>
        <sz val="12"/>
        <color theme="9" tint="-0.249977111117893"/>
        <rFont val="Calibri"/>
        <family val="2"/>
      </rPr>
      <t xml:space="preserve">GOOD </t>
    </r>
    <r>
      <rPr>
        <sz val="12"/>
        <color theme="1"/>
        <rFont val="Calibri"/>
        <family val="2"/>
      </rPr>
      <t xml:space="preserve">(&lt;OP ORIGINAL EQUITY) / </t>
    </r>
    <r>
      <rPr>
        <b/>
        <sz val="12"/>
        <color theme="7" tint="-0.249977111117893"/>
        <rFont val="Calibri"/>
        <family val="2"/>
      </rPr>
      <t xml:space="preserve">OK </t>
    </r>
    <r>
      <rPr>
        <sz val="12"/>
        <color theme="1"/>
        <rFont val="Calibri"/>
        <family val="2"/>
      </rPr>
      <t xml:space="preserve">(&lt;3x ORIGINAL) / </t>
    </r>
    <r>
      <rPr>
        <b/>
        <sz val="12"/>
        <color theme="5" tint="-0.249977111117893"/>
        <rFont val="Calibri"/>
        <family val="2"/>
      </rPr>
      <t xml:space="preserve">WATCH </t>
    </r>
    <r>
      <rPr>
        <sz val="12"/>
        <color theme="1"/>
        <rFont val="Calibri"/>
        <family val="2"/>
      </rPr>
      <t>(&gt;3X)</t>
    </r>
  </si>
  <si>
    <r>
      <rPr>
        <b/>
        <sz val="12"/>
        <color theme="9" tint="-0.249977111117893"/>
        <rFont val="Calibri"/>
        <family val="2"/>
      </rPr>
      <t xml:space="preserve">GOOD </t>
    </r>
    <r>
      <rPr>
        <sz val="12"/>
        <color theme="1"/>
        <rFont val="Calibri"/>
        <family val="2"/>
      </rPr>
      <t xml:space="preserve">(0%-9.9%) / </t>
    </r>
    <r>
      <rPr>
        <b/>
        <sz val="12"/>
        <color theme="7" tint="-0.249977111117893"/>
        <rFont val="Calibri"/>
        <family val="2"/>
      </rPr>
      <t xml:space="preserve">OK </t>
    </r>
    <r>
      <rPr>
        <sz val="12"/>
        <color theme="1"/>
        <rFont val="Calibri"/>
        <family val="2"/>
      </rPr>
      <t xml:space="preserve">(10%-19.9%) / </t>
    </r>
    <r>
      <rPr>
        <b/>
        <sz val="12"/>
        <color theme="5" tint="-0.249977111117893"/>
        <rFont val="Calibri"/>
        <family val="2"/>
      </rPr>
      <t xml:space="preserve">WATCH </t>
    </r>
    <r>
      <rPr>
        <sz val="12"/>
        <color theme="1"/>
        <rFont val="Calibri"/>
        <family val="2"/>
      </rPr>
      <t>(&gt;20%)</t>
    </r>
  </si>
  <si>
    <t>NOAH Impact Fund Property Acquisition Model</t>
  </si>
  <si>
    <t>Property Name:</t>
  </si>
  <si>
    <t>Monthly</t>
  </si>
  <si>
    <t>Rate</t>
  </si>
  <si>
    <t>Operating Partner:</t>
  </si>
  <si>
    <t>Ramsey</t>
  </si>
  <si>
    <t>Hennepin</t>
  </si>
  <si>
    <t>City:</t>
  </si>
  <si>
    <t>County:</t>
  </si>
  <si>
    <t>County</t>
  </si>
  <si>
    <t>Anoka</t>
  </si>
  <si>
    <t>Washington</t>
  </si>
  <si>
    <t>Dakota</t>
  </si>
  <si>
    <t>Carver</t>
  </si>
  <si>
    <t>Scott</t>
  </si>
  <si>
    <t>Projected Closing Date:</t>
  </si>
  <si>
    <t>Capital Improvements Budget Per Unit</t>
  </si>
  <si>
    <t>Purchase Price Per Unit</t>
  </si>
  <si>
    <t>Property Acquisition Cap Rate</t>
  </si>
  <si>
    <t>Operating Partner Equity</t>
  </si>
  <si>
    <t>PARTNER EQUITY</t>
  </si>
  <si>
    <t>Total Partner Equity</t>
  </si>
  <si>
    <t>Amortization Period</t>
  </si>
  <si>
    <t>Term/Maturity</t>
  </si>
  <si>
    <t>Interest Only</t>
  </si>
  <si>
    <t>Debt Service Coverage Ratio</t>
  </si>
  <si>
    <t>Annual Debt Service</t>
  </si>
  <si>
    <t>Loan to Value</t>
  </si>
  <si>
    <t>DEAL POINTS</t>
  </si>
  <si>
    <t>Acquisition Cost</t>
  </si>
  <si>
    <t>Rehabilitation Cost</t>
  </si>
  <si>
    <t>First
Mortgage
Sizing</t>
  </si>
  <si>
    <t>Loan to Price</t>
  </si>
  <si>
    <t>Maximum Loan Amount</t>
  </si>
  <si>
    <t>Appraised Value at Acquisition</t>
  </si>
  <si>
    <t>SOURCES OF FUNDS</t>
  </si>
  <si>
    <t>USES OF FUNDS</t>
  </si>
  <si>
    <t>Senior Debt</t>
  </si>
  <si>
    <t>TOTAL SOURCES OF FUNDS</t>
  </si>
  <si>
    <t>of Acquisition Cost</t>
  </si>
  <si>
    <t>Transaction Costs</t>
  </si>
  <si>
    <t>TOTAL USES OF FUNDS</t>
  </si>
  <si>
    <t>Prepaid Property Taxes (1/2 Year)</t>
  </si>
  <si>
    <t>Closing, Title, Survey, Miscellaneous</t>
  </si>
  <si>
    <t>Prepaid Property Insurance (1 Year)</t>
  </si>
  <si>
    <t>Soft Cost Contingency</t>
  </si>
  <si>
    <t>Subtotal Transaction Costs</t>
  </si>
  <si>
    <t>Override Loan Amount</t>
  </si>
  <si>
    <t>Override</t>
  </si>
  <si>
    <t>Senior Debt Fee (x Loan)</t>
  </si>
  <si>
    <t>Application Fees (x Loan)</t>
  </si>
  <si>
    <t>OP Fee (x Acquisition Cost)</t>
  </si>
  <si>
    <t>Years</t>
  </si>
  <si>
    <t>Interest Only Period</t>
  </si>
  <si>
    <t>Fixed</t>
  </si>
  <si>
    <t>(Amortizing)</t>
  </si>
  <si>
    <t>Net Operating Income</t>
  </si>
  <si>
    <t>Net Cash Flow</t>
  </si>
  <si>
    <t>Fund Fee (x Acquisition Cost)</t>
  </si>
  <si>
    <t>Annual Fund Cash on Cash Return</t>
  </si>
  <si>
    <t>Cumulative Fund Cash on Cash Return</t>
  </si>
  <si>
    <t>Fund Hurdle Rate</t>
  </si>
  <si>
    <t>MUST EXCEED HURDLE RATE</t>
  </si>
  <si>
    <t>MUST MEET BOTH TESTS</t>
  </si>
  <si>
    <t>Fund Equity</t>
  </si>
  <si>
    <t>Interest Accrued at Hurdle Rate</t>
  </si>
  <si>
    <t>Surplus (Shortfall) to Fund</t>
  </si>
  <si>
    <t>Fund IRR (Cash In/Out)</t>
  </si>
  <si>
    <t>Total Property Revenue</t>
  </si>
  <si>
    <t>Total Property Expenses</t>
  </si>
  <si>
    <t>Operating Partner Distributions</t>
  </si>
  <si>
    <t>Fund Distributions</t>
  </si>
  <si>
    <t>NET OPERATING INCOME, NET CASH FLOW, FUND DISTRIBUTIONS, FUND RETURNS, AND YEAR-10 FUND EXIT PAYMENT</t>
  </si>
  <si>
    <t>YEAR-10 FUND EXIT PAYMENT SENSITIVITY ANALYSIS</t>
  </si>
  <si>
    <t>10-YEAR INCOME &amp; EXPENSE ANALYSIS</t>
  </si>
  <si>
    <t>INCOME</t>
  </si>
  <si>
    <t>EXPENSES</t>
  </si>
  <si>
    <t>In Place</t>
  </si>
  <si>
    <t xml:space="preserve">NET OPERATING INCOME </t>
  </si>
  <si>
    <t>Vacancy Loss</t>
  </si>
  <si>
    <t>Inflator</t>
  </si>
  <si>
    <t>Percent</t>
  </si>
  <si>
    <t>Administrative</t>
  </si>
  <si>
    <t>Payroll</t>
  </si>
  <si>
    <t>Maintenance</t>
  </si>
  <si>
    <t>Contracts</t>
  </si>
  <si>
    <t>Management</t>
  </si>
  <si>
    <t>Property Taxes</t>
  </si>
  <si>
    <t>Insurance</t>
  </si>
  <si>
    <t>Replacements</t>
  </si>
  <si>
    <t>Property Value</t>
  </si>
  <si>
    <t>Refi Costs</t>
  </si>
  <si>
    <t>Cap Rate</t>
  </si>
  <si>
    <t>NOI</t>
  </si>
  <si>
    <t>LTV Limit</t>
  </si>
  <si>
    <t>DSCR Limit</t>
  </si>
  <si>
    <t>Fund Exit Payment</t>
  </si>
  <si>
    <t>Senior Debt Payoff</t>
  </si>
  <si>
    <t>Percent of Property Value</t>
  </si>
  <si>
    <t>Year Loan</t>
  </si>
  <si>
    <t>Additional Equity Needed</t>
  </si>
  <si>
    <t>Original OP Equity</t>
  </si>
  <si>
    <t>Surplus Applied to OP Equity</t>
  </si>
  <si>
    <t>Remaining OP Equity</t>
  </si>
  <si>
    <t>Additional Return to OP</t>
  </si>
  <si>
    <t>Net Surplus (Shortfall)</t>
  </si>
  <si>
    <t>OP Equity if Shortfall Added</t>
  </si>
  <si>
    <t>REFINANCING SCENARIO</t>
  </si>
  <si>
    <t>Year 10 Assumptions</t>
  </si>
  <si>
    <t>Cap Rate Sensitivity</t>
  </si>
  <si>
    <t>Interest Rate Sensitivity</t>
  </si>
  <si>
    <t>Combined Rate Sensitivity</t>
  </si>
  <si>
    <t>Cap Rate --</t>
  </si>
  <si>
    <t>Cap Rate -</t>
  </si>
  <si>
    <t>Cap Rate +</t>
  </si>
  <si>
    <t>Cap Rate ++</t>
  </si>
  <si>
    <t>Interest --</t>
  </si>
  <si>
    <t>Interest -</t>
  </si>
  <si>
    <t>Interest +</t>
  </si>
  <si>
    <t>Interest ++</t>
  </si>
  <si>
    <t>Combo --</t>
  </si>
  <si>
    <t>Combo -</t>
  </si>
  <si>
    <t>Combo +</t>
  </si>
  <si>
    <t>Combo ++</t>
  </si>
  <si>
    <t>Today</t>
  </si>
  <si>
    <t>SALE SCENARIO</t>
  </si>
  <si>
    <t>Sale Costs</t>
  </si>
  <si>
    <t>Water/Sewer</t>
  </si>
  <si>
    <t>Trash</t>
  </si>
  <si>
    <t>Gas &amp; Electric</t>
  </si>
  <si>
    <t>Potential Affordable Rent</t>
  </si>
  <si>
    <t>Potential Market Rate Rent</t>
  </si>
  <si>
    <t>Unit
Type</t>
  </si>
  <si>
    <t>Square
Feet</t>
  </si>
  <si>
    <t>Number
of Units</t>
  </si>
  <si>
    <t>Utility
Allowance</t>
  </si>
  <si>
    <t>Gross
Rent</t>
  </si>
  <si>
    <t>Maximum
Rent</t>
  </si>
  <si>
    <t>AMI
Limit</t>
  </si>
  <si>
    <t>Affordable Units</t>
  </si>
  <si>
    <t>Number of Affordable Units</t>
  </si>
  <si>
    <t>Number of Market Rate Units</t>
  </si>
  <si>
    <t>Total Number of Units</t>
  </si>
  <si>
    <t>See
Rent
Roll</t>
  </si>
  <si>
    <t>Market Rate Units</t>
  </si>
  <si>
    <t>All Units Total</t>
  </si>
  <si>
    <t>Total Monthly Rent from Affordable Units</t>
  </si>
  <si>
    <t>Total Monthly Rent from Market Rate Units</t>
  </si>
  <si>
    <t>Total Monthly Rent from All Units</t>
  </si>
  <si>
    <t>Total Income</t>
  </si>
  <si>
    <t>Total Expenses</t>
  </si>
  <si>
    <t>|-------------------Mark-to-Market-------------------|</t>
  </si>
  <si>
    <t>OP Exit Payment</t>
  </si>
  <si>
    <t>Affordable Units Inflator + Mark-to-Market</t>
  </si>
  <si>
    <t>Market Rate Units Inflator + Mark-to-Market</t>
  </si>
  <si>
    <t>Physical/Economic Occupancy</t>
  </si>
  <si>
    <t>Subtotal Potential Rent</t>
  </si>
  <si>
    <t>Subtotal Net Rent</t>
  </si>
  <si>
    <t>Subtotal Parking Revenue</t>
  </si>
  <si>
    <t>Subtotal Other Revenue</t>
  </si>
  <si>
    <t>Vacancy Rate</t>
  </si>
  <si>
    <t>Potential Parking Revenue</t>
  </si>
  <si>
    <t>Potential Other Revenue</t>
  </si>
  <si>
    <t>Parking Revenue Vacancy</t>
  </si>
  <si>
    <t>Other Revenue Vacancy</t>
  </si>
  <si>
    <t>Concessions</t>
  </si>
  <si>
    <t>Appraisal, PCNA, Market Comps</t>
  </si>
  <si>
    <t>Fee x Income</t>
  </si>
  <si>
    <t>ENTER DATA IN YELLOW CELLS WITH BOLD BLUE FONT.  DO NOT ENTER DATA IN GRAY CELLS WHICH ARE FORMULA DRIVEN.  DO NOT ENTER LINKS TO OTHER SPREADSHEETS.</t>
  </si>
  <si>
    <t>Legal Fees (Fund, OP, Lenders)</t>
  </si>
  <si>
    <t>Net Operating Income, Year 1</t>
  </si>
  <si>
    <t>Capitalized Operating Reserves</t>
  </si>
  <si>
    <t>Capitalized Replacement Reserves</t>
  </si>
  <si>
    <t>Maximum Rent Excludes Optional Garage Charges</t>
  </si>
  <si>
    <t>Total Monthly Rent from Garages</t>
  </si>
  <si>
    <t>Garage Total</t>
  </si>
  <si>
    <t>Number of Garages</t>
  </si>
  <si>
    <t>Cooking</t>
  </si>
  <si>
    <t>Gas</t>
  </si>
  <si>
    <t>Electric</t>
  </si>
  <si>
    <t>Water Heating</t>
  </si>
  <si>
    <t>Unit Heating</t>
  </si>
  <si>
    <t>Water</t>
  </si>
  <si>
    <t>Sewer</t>
  </si>
  <si>
    <t>Unit
Electric</t>
  </si>
  <si>
    <t>Source</t>
  </si>
  <si>
    <t>Owner
Shared</t>
  </si>
  <si>
    <t>In Place
Rents</t>
  </si>
  <si>
    <t>Year 1
Rents</t>
  </si>
  <si>
    <t>Total Expenses Per Unit Per Year</t>
  </si>
  <si>
    <t>Average Rent Per Unit Per Month</t>
  </si>
  <si>
    <t>Twin Cities 7-County Metro Area</t>
  </si>
  <si>
    <t>MHFA</t>
  </si>
  <si>
    <t>Effective</t>
  </si>
  <si>
    <t>Rent Limits</t>
  </si>
  <si>
    <t>(Affordable Units Only)</t>
  </si>
  <si>
    <t>Utility Allowances</t>
  </si>
  <si>
    <t>Unit Mix</t>
  </si>
  <si>
    <t>Net Rent = Gross Rent - Utility Allowance</t>
  </si>
  <si>
    <t>Projected Growth in Net Affordable Rents</t>
  </si>
  <si>
    <t>Year</t>
  </si>
  <si>
    <t>Projected Growth in Utility Allowances</t>
  </si>
  <si>
    <t>Projected Growth in Maximum Net Affordable Rents</t>
  </si>
  <si>
    <t>IF CELL IS ORANGE, PROJECTED NET AFFORDABLE RENT EXCEEDS MAXIMUM NET AFFORDABLE RENT</t>
  </si>
  <si>
    <t>Projected Growth in Maximum Gross Affordable Rents</t>
  </si>
  <si>
    <t>(Maximum Gross Affordable Rent Minus Utility Allowance)</t>
  </si>
  <si>
    <t>(Given Projected Growth in Corresponding Area Median Incomes)</t>
  </si>
  <si>
    <t>Area Median Income Annual Inflator</t>
  </si>
  <si>
    <t>Affordable Units Annual Inflator</t>
  </si>
  <si>
    <t>Utility Allowance Annual Inflator</t>
  </si>
  <si>
    <t>IF CELL IS ORANGE, YEAR-10 FUND EXIT PAYMENT RELIES ON LOOK BACK INSTEAD OF CASH DISTRIBUTIONS TO MEET HURDLE RATE -----&gt;</t>
  </si>
  <si>
    <t>Year-10 Fund Exit Payment:  Return Fund Capital + Hurdle Rate Look Back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</si>
</sst>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5" formatCode="&quot;$&quot;#,##0_);\(&quot;$&quot;#,##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-* #,##0_-;\-* #,##0_-;_-* &quot;-&quot;??_-;_-@_-"/>
    <numFmt numFmtId="166" formatCode="0.0%"/>
    <numFmt numFmtId="167" formatCode="_(&quot;$&quot;* #,##0_);_(&quot;$&quot;* \(#,##0\);_(&quot;$&quot;* &quot;-&quot;??_);_(@_)"/>
    <numFmt numFmtId="168" formatCode="&quot;Year: &quot;#"/>
    <numFmt numFmtId="169" formatCode="#,##0\ &quot;Months&quot;"/>
    <numFmt numFmtId="170" formatCode="0.000%"/>
    <numFmt numFmtId="171" formatCode="&quot;$&quot;#,###;\-0;;@"/>
    <numFmt numFmtId="172" formatCode="#,###;\-0;;@"/>
  </numFmts>
  <fonts count="53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</font>
    <font>
      <sz val="12"/>
      <color theme="1"/>
      <name val="Calibri"/>
      <family val="2"/>
    </font>
    <font>
      <sz val="12"/>
      <color theme="1"/>
      <name val="Calibri"/>
      <family val="2"/>
    </font>
    <font>
      <sz val="12"/>
      <color theme="1"/>
      <name val="Calibri"/>
      <family val="2"/>
    </font>
    <font>
      <sz val="12"/>
      <color theme="1"/>
      <name val="Calibri"/>
      <family val="2"/>
    </font>
    <font>
      <sz val="12"/>
      <color theme="1"/>
      <name val="Calibri"/>
      <family val="2"/>
    </font>
    <font>
      <sz val="12"/>
      <color theme="1"/>
      <name val="Calibri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2"/>
      <color rgb="FF0000FF"/>
      <name val="Calibri"/>
      <family val="2"/>
      <scheme val="minor"/>
    </font>
    <font>
      <u/>
      <sz val="12"/>
      <name val="Calibri"/>
      <family val="2"/>
      <scheme val="minor"/>
    </font>
    <font>
      <u val="singleAccounting"/>
      <sz val="12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0"/>
      <color theme="0"/>
      <name val="Calibri"/>
      <family val="2"/>
    </font>
    <font>
      <b/>
      <u/>
      <sz val="12"/>
      <name val="Calibri"/>
      <family val="2"/>
    </font>
    <font>
      <sz val="12"/>
      <color theme="1"/>
      <name val="Calibri"/>
      <family val="2"/>
    </font>
    <font>
      <b/>
      <sz val="12"/>
      <name val="Calibri"/>
      <family val="2"/>
    </font>
    <font>
      <b/>
      <sz val="12"/>
      <color rgb="FFFF0000"/>
      <name val="Calibri"/>
      <family val="2"/>
    </font>
    <font>
      <sz val="12"/>
      <name val="Calibri"/>
      <family val="2"/>
    </font>
    <font>
      <b/>
      <sz val="12"/>
      <color theme="1"/>
      <name val="Calibri"/>
      <family val="2"/>
    </font>
    <font>
      <b/>
      <sz val="12"/>
      <color theme="9" tint="-0.249977111117893"/>
      <name val="Calibri"/>
      <family val="2"/>
    </font>
    <font>
      <b/>
      <sz val="12"/>
      <color theme="7" tint="-0.249977111117893"/>
      <name val="Calibri"/>
      <family val="2"/>
    </font>
    <font>
      <b/>
      <sz val="12"/>
      <color theme="5" tint="-0.249977111117893"/>
      <name val="Calibri"/>
      <family val="2"/>
    </font>
    <font>
      <sz val="12"/>
      <color theme="0"/>
      <name val="Calibri"/>
      <family val="2"/>
    </font>
    <font>
      <b/>
      <sz val="12"/>
      <color rgb="FF0000FF"/>
      <name val="Calibri"/>
      <family val="2"/>
    </font>
    <font>
      <i/>
      <sz val="12"/>
      <name val="Calibri"/>
      <family val="2"/>
    </font>
    <font>
      <i/>
      <sz val="12"/>
      <color theme="1"/>
      <name val="Calibri"/>
      <family val="2"/>
    </font>
    <font>
      <sz val="12"/>
      <color rgb="FFFF0000"/>
      <name val="Calibri"/>
      <family val="2"/>
    </font>
    <font>
      <b/>
      <strike/>
      <sz val="12"/>
      <color rgb="FFFF0000"/>
      <name val="Calibri"/>
      <family val="2"/>
    </font>
    <font>
      <b/>
      <sz val="48"/>
      <color theme="0"/>
      <name val="Calibri"/>
      <family val="2"/>
    </font>
    <font>
      <b/>
      <sz val="18"/>
      <color rgb="FF0000FF"/>
      <name val="Calibri"/>
      <family val="2"/>
    </font>
    <font>
      <b/>
      <sz val="12"/>
      <color rgb="FFC00000"/>
      <name val="Calibri"/>
      <family val="2"/>
    </font>
    <font>
      <b/>
      <sz val="18"/>
      <name val="Calibri"/>
      <family val="2"/>
    </font>
    <font>
      <b/>
      <sz val="18"/>
      <color theme="1"/>
      <name val="Calibri"/>
      <family val="2"/>
    </font>
    <font>
      <b/>
      <sz val="12"/>
      <color theme="1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14"/>
      <color theme="1"/>
      <name val="Calibri"/>
      <family val="2"/>
    </font>
    <font>
      <b/>
      <sz val="14"/>
      <name val="Calibri"/>
      <family val="2"/>
    </font>
    <font>
      <sz val="14"/>
      <name val="Calibri"/>
      <family val="2"/>
    </font>
    <font>
      <b/>
      <i/>
      <sz val="12"/>
      <color theme="0"/>
      <name val="Calibri"/>
      <family val="2"/>
    </font>
    <font>
      <b/>
      <sz val="12"/>
      <color rgb="FF0000FF"/>
      <name val="Calibri"/>
      <family val="2"/>
      <scheme val="minor"/>
    </font>
    <font>
      <b/>
      <sz val="14"/>
      <color rgb="FF0000FF"/>
      <name val="Calibri"/>
      <family val="2"/>
      <scheme val="minor"/>
    </font>
    <font>
      <b/>
      <sz val="10"/>
      <color indexed="81"/>
      <name val="Calibri"/>
      <family val="2"/>
      <scheme val="minor"/>
    </font>
    <font>
      <sz val="14"/>
      <name val="Calibri"/>
      <family val="2"/>
      <scheme val="minor"/>
    </font>
    <font>
      <b/>
      <sz val="36"/>
      <color theme="0"/>
      <name val="Calibri"/>
      <family val="2"/>
      <scheme val="minor"/>
    </font>
    <font>
      <b/>
      <sz val="18"/>
      <color rgb="FFC0000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3" tint="-0.249977111117893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/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auto="1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thin">
        <color auto="1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auto="1"/>
      </right>
      <top style="hair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auto="1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auto="1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indexed="64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indexed="64"/>
      </right>
      <top style="hair">
        <color auto="1"/>
      </top>
      <bottom/>
      <diagonal/>
    </border>
    <border>
      <left style="hair">
        <color indexed="64"/>
      </left>
      <right style="hair">
        <color indexed="64"/>
      </right>
      <top style="hair">
        <color auto="1"/>
      </top>
      <bottom/>
      <diagonal/>
    </border>
    <border>
      <left style="hair">
        <color indexed="64"/>
      </left>
      <right style="thin">
        <color auto="1"/>
      </right>
      <top style="hair">
        <color auto="1"/>
      </top>
      <bottom/>
      <diagonal/>
    </border>
    <border>
      <left/>
      <right style="hair">
        <color indexed="64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hair">
        <color indexed="64"/>
      </left>
      <right/>
      <top style="thin">
        <color auto="1"/>
      </top>
      <bottom style="hair">
        <color auto="1"/>
      </bottom>
      <diagonal/>
    </border>
    <border>
      <left/>
      <right/>
      <top style="hair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</borders>
  <cellStyleXfs count="9">
    <xf numFmtId="0" fontId="0" fillId="0" borderId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9" fillId="0" borderId="0" applyFont="0" applyFill="0" applyBorder="0" applyAlignment="0" applyProtection="0"/>
    <xf numFmtId="44" fontId="8" fillId="0" borderId="0" applyFont="0" applyFill="0" applyBorder="0" applyAlignment="0" applyProtection="0"/>
  </cellStyleXfs>
  <cellXfs count="762">
    <xf numFmtId="0" fontId="0" fillId="0" borderId="0" xfId="0"/>
    <xf numFmtId="0" fontId="10" fillId="0" borderId="0" xfId="0" applyFont="1"/>
    <xf numFmtId="0" fontId="12" fillId="0" borderId="0" xfId="0" applyFont="1"/>
    <xf numFmtId="0" fontId="13" fillId="0" borderId="0" xfId="0" applyFont="1"/>
    <xf numFmtId="0" fontId="10" fillId="3" borderId="13" xfId="0" applyFont="1" applyFill="1" applyBorder="1" applyAlignment="1">
      <alignment horizontal="center"/>
    </xf>
    <xf numFmtId="0" fontId="10" fillId="3" borderId="14" xfId="0" applyFont="1" applyFill="1" applyBorder="1" applyAlignment="1">
      <alignment horizontal="center"/>
    </xf>
    <xf numFmtId="37" fontId="16" fillId="5" borderId="16" xfId="0" applyNumberFormat="1" applyFont="1" applyFill="1" applyBorder="1" applyAlignment="1">
      <alignment horizontal="center"/>
    </xf>
    <xf numFmtId="0" fontId="16" fillId="7" borderId="12" xfId="0" applyFont="1" applyFill="1" applyBorder="1" applyAlignment="1">
      <alignment horizontal="center"/>
    </xf>
    <xf numFmtId="0" fontId="16" fillId="7" borderId="16" xfId="0" applyFont="1" applyFill="1" applyBorder="1" applyAlignment="1">
      <alignment horizontal="center"/>
    </xf>
    <xf numFmtId="0" fontId="16" fillId="7" borderId="17" xfId="0" applyFont="1" applyFill="1" applyBorder="1" applyAlignment="1">
      <alignment horizontal="center"/>
    </xf>
    <xf numFmtId="0" fontId="16" fillId="7" borderId="18" xfId="0" applyFont="1" applyFill="1" applyBorder="1" applyAlignment="1">
      <alignment horizontal="center"/>
    </xf>
    <xf numFmtId="0" fontId="10" fillId="9" borderId="0" xfId="0" applyFont="1" applyFill="1"/>
    <xf numFmtId="0" fontId="22" fillId="0" borderId="0" xfId="0" applyFont="1"/>
    <xf numFmtId="0" fontId="12" fillId="0" borderId="0" xfId="0" applyFont="1" applyAlignment="1">
      <alignment horizontal="center"/>
    </xf>
    <xf numFmtId="3" fontId="22" fillId="0" borderId="0" xfId="0" applyNumberFormat="1" applyFont="1"/>
    <xf numFmtId="0" fontId="22" fillId="0" borderId="4" xfId="0" applyFont="1" applyBorder="1"/>
    <xf numFmtId="164" fontId="22" fillId="0" borderId="0" xfId="3" applyNumberFormat="1" applyFont="1" applyFill="1" applyBorder="1" applyAlignment="1"/>
    <xf numFmtId="3" fontId="22" fillId="0" borderId="4" xfId="0" applyNumberFormat="1" applyFont="1" applyBorder="1"/>
    <xf numFmtId="3" fontId="23" fillId="0" borderId="0" xfId="0" applyNumberFormat="1" applyFont="1"/>
    <xf numFmtId="3" fontId="22" fillId="0" borderId="9" xfId="0" applyNumberFormat="1" applyFont="1" applyBorder="1"/>
    <xf numFmtId="0" fontId="22" fillId="0" borderId="10" xfId="0" applyFont="1" applyBorder="1"/>
    <xf numFmtId="0" fontId="23" fillId="0" borderId="0" xfId="0" applyFont="1"/>
    <xf numFmtId="3" fontId="30" fillId="0" borderId="0" xfId="0" applyNumberFormat="1" applyFont="1"/>
    <xf numFmtId="37" fontId="22" fillId="0" borderId="0" xfId="0" applyNumberFormat="1" applyFont="1"/>
    <xf numFmtId="0" fontId="23" fillId="4" borderId="7" xfId="0" applyFont="1" applyFill="1" applyBorder="1"/>
    <xf numFmtId="164" fontId="22" fillId="0" borderId="7" xfId="3" applyNumberFormat="1" applyFont="1" applyFill="1" applyBorder="1" applyAlignment="1"/>
    <xf numFmtId="9" fontId="22" fillId="0" borderId="7" xfId="0" applyNumberFormat="1" applyFont="1" applyBorder="1"/>
    <xf numFmtId="164" fontId="24" fillId="0" borderId="0" xfId="3" applyNumberFormat="1" applyFont="1" applyFill="1" applyBorder="1" applyAlignment="1">
      <alignment wrapText="1"/>
    </xf>
    <xf numFmtId="164" fontId="23" fillId="0" borderId="0" xfId="3" applyNumberFormat="1" applyFont="1" applyFill="1" applyBorder="1" applyAlignment="1">
      <alignment wrapText="1"/>
    </xf>
    <xf numFmtId="9" fontId="22" fillId="0" borderId="0" xfId="0" applyNumberFormat="1" applyFont="1"/>
    <xf numFmtId="0" fontId="22" fillId="0" borderId="9" xfId="0" applyFont="1" applyBorder="1"/>
    <xf numFmtId="164" fontId="25" fillId="0" borderId="0" xfId="3" applyNumberFormat="1" applyFont="1" applyFill="1" applyBorder="1" applyAlignment="1"/>
    <xf numFmtId="37" fontId="22" fillId="0" borderId="9" xfId="0" applyNumberFormat="1" applyFont="1" applyBorder="1"/>
    <xf numFmtId="164" fontId="32" fillId="0" borderId="0" xfId="3" applyNumberFormat="1" applyFont="1" applyFill="1" applyBorder="1" applyAlignment="1"/>
    <xf numFmtId="164" fontId="22" fillId="0" borderId="0" xfId="3" applyNumberFormat="1" applyFont="1" applyBorder="1" applyAlignment="1"/>
    <xf numFmtId="164" fontId="26" fillId="0" borderId="0" xfId="3" applyNumberFormat="1" applyFont="1" applyFill="1" applyBorder="1" applyAlignment="1">
      <alignment wrapText="1"/>
    </xf>
    <xf numFmtId="165" fontId="25" fillId="0" borderId="0" xfId="3" applyNumberFormat="1" applyFont="1" applyFill="1" applyBorder="1" applyAlignment="1"/>
    <xf numFmtId="0" fontId="23" fillId="0" borderId="4" xfId="0" applyFont="1" applyBorder="1"/>
    <xf numFmtId="0" fontId="22" fillId="0" borderId="5" xfId="0" applyFont="1" applyBorder="1"/>
    <xf numFmtId="0" fontId="22" fillId="0" borderId="7" xfId="0" applyFont="1" applyBorder="1"/>
    <xf numFmtId="37" fontId="23" fillId="0" borderId="7" xfId="0" quotePrefix="1" applyNumberFormat="1" applyFont="1" applyBorder="1" applyAlignment="1">
      <alignment horizontal="right"/>
    </xf>
    <xf numFmtId="37" fontId="22" fillId="0" borderId="7" xfId="0" applyNumberFormat="1" applyFont="1" applyBorder="1"/>
    <xf numFmtId="0" fontId="22" fillId="0" borderId="8" xfId="0" applyFont="1" applyBorder="1"/>
    <xf numFmtId="0" fontId="23" fillId="0" borderId="0" xfId="0" applyFont="1" applyAlignment="1">
      <alignment horizontal="left" vertical="center" wrapText="1" indent="1"/>
    </xf>
    <xf numFmtId="3" fontId="22" fillId="0" borderId="5" xfId="0" applyNumberFormat="1" applyFont="1" applyBorder="1"/>
    <xf numFmtId="37" fontId="24" fillId="0" borderId="5" xfId="0" applyNumberFormat="1" applyFont="1" applyBorder="1" applyAlignment="1">
      <alignment vertical="center" wrapText="1"/>
    </xf>
    <xf numFmtId="10" fontId="34" fillId="0" borderId="0" xfId="2" quotePrefix="1" applyNumberFormat="1" applyFont="1" applyFill="1" applyBorder="1" applyAlignment="1">
      <alignment horizontal="left"/>
    </xf>
    <xf numFmtId="10" fontId="35" fillId="0" borderId="0" xfId="2" applyNumberFormat="1" applyFont="1" applyFill="1" applyBorder="1" applyAlignment="1">
      <alignment vertical="center" wrapText="1"/>
    </xf>
    <xf numFmtId="10" fontId="35" fillId="0" borderId="5" xfId="2" applyNumberFormat="1" applyFont="1" applyFill="1" applyBorder="1" applyAlignment="1">
      <alignment vertical="center" wrapText="1"/>
    </xf>
    <xf numFmtId="10" fontId="24" fillId="0" borderId="0" xfId="2" applyNumberFormat="1" applyFont="1" applyFill="1" applyBorder="1" applyAlignment="1">
      <alignment vertical="center"/>
    </xf>
    <xf numFmtId="10" fontId="24" fillId="0" borderId="5" xfId="2" applyNumberFormat="1" applyFont="1" applyFill="1" applyBorder="1" applyAlignment="1">
      <alignment vertical="center"/>
    </xf>
    <xf numFmtId="10" fontId="22" fillId="0" borderId="0" xfId="2" applyNumberFormat="1" applyFont="1" applyFill="1" applyBorder="1" applyAlignment="1">
      <alignment horizontal="left"/>
    </xf>
    <xf numFmtId="10" fontId="23" fillId="0" borderId="5" xfId="0" applyNumberFormat="1" applyFont="1" applyBorder="1"/>
    <xf numFmtId="37" fontId="24" fillId="0" borderId="5" xfId="0" applyNumberFormat="1" applyFont="1" applyBorder="1" applyAlignment="1">
      <alignment vertical="center"/>
    </xf>
    <xf numFmtId="10" fontId="22" fillId="0" borderId="5" xfId="0" applyNumberFormat="1" applyFont="1" applyBorder="1"/>
    <xf numFmtId="3" fontId="23" fillId="0" borderId="5" xfId="0" applyNumberFormat="1" applyFont="1" applyBorder="1" applyAlignment="1">
      <alignment vertical="center"/>
    </xf>
    <xf numFmtId="3" fontId="22" fillId="0" borderId="11" xfId="0" applyNumberFormat="1" applyFont="1" applyBorder="1"/>
    <xf numFmtId="3" fontId="22" fillId="0" borderId="0" xfId="2" applyNumberFormat="1" applyFont="1" applyFill="1" applyAlignment="1">
      <alignment horizontal="center"/>
    </xf>
    <xf numFmtId="3" fontId="30" fillId="0" borderId="0" xfId="0" applyNumberFormat="1" applyFont="1" applyAlignment="1">
      <alignment horizontal="center"/>
    </xf>
    <xf numFmtId="3" fontId="22" fillId="0" borderId="0" xfId="0" applyNumberFormat="1" applyFont="1" applyAlignment="1">
      <alignment horizontal="center"/>
    </xf>
    <xf numFmtId="166" fontId="22" fillId="0" borderId="0" xfId="1" applyNumberFormat="1" applyFont="1" applyFill="1" applyBorder="1" applyAlignment="1">
      <alignment horizontal="center"/>
    </xf>
    <xf numFmtId="166" fontId="30" fillId="0" borderId="0" xfId="1" applyNumberFormat="1" applyFont="1" applyFill="1" applyBorder="1" applyAlignment="1">
      <alignment horizontal="center"/>
    </xf>
    <xf numFmtId="164" fontId="30" fillId="0" borderId="0" xfId="3" applyNumberFormat="1" applyFont="1" applyFill="1" applyBorder="1" applyAlignment="1"/>
    <xf numFmtId="10" fontId="30" fillId="0" borderId="0" xfId="2" applyNumberFormat="1" applyFont="1" applyFill="1" applyBorder="1" applyAlignment="1"/>
    <xf numFmtId="164" fontId="30" fillId="0" borderId="0" xfId="3" applyNumberFormat="1" applyFont="1" applyFill="1" applyBorder="1"/>
    <xf numFmtId="3" fontId="22" fillId="0" borderId="0" xfId="3" applyNumberFormat="1" applyFont="1" applyFill="1" applyBorder="1" applyAlignment="1"/>
    <xf numFmtId="3" fontId="30" fillId="0" borderId="0" xfId="3" applyNumberFormat="1" applyFont="1" applyFill="1" applyBorder="1" applyAlignment="1"/>
    <xf numFmtId="10" fontId="22" fillId="0" borderId="0" xfId="0" applyNumberFormat="1" applyFont="1" applyAlignment="1">
      <alignment horizontal="center" vertical="center"/>
    </xf>
    <xf numFmtId="10" fontId="30" fillId="0" borderId="0" xfId="2" applyNumberFormat="1" applyFont="1" applyFill="1" applyBorder="1" applyAlignment="1">
      <alignment horizontal="center"/>
    </xf>
    <xf numFmtId="164" fontId="30" fillId="0" borderId="0" xfId="3" applyNumberFormat="1" applyFont="1" applyFill="1" applyBorder="1" applyAlignment="1">
      <alignment horizontal="left"/>
    </xf>
    <xf numFmtId="3" fontId="22" fillId="0" borderId="7" xfId="0" applyNumberFormat="1" applyFont="1" applyBorder="1"/>
    <xf numFmtId="0" fontId="25" fillId="0" borderId="0" xfId="0" applyFont="1"/>
    <xf numFmtId="0" fontId="23" fillId="4" borderId="0" xfId="0" applyFont="1" applyFill="1"/>
    <xf numFmtId="164" fontId="33" fillId="0" borderId="0" xfId="3" applyNumberFormat="1" applyFont="1" applyFill="1" applyBorder="1" applyAlignment="1"/>
    <xf numFmtId="0" fontId="11" fillId="0" borderId="0" xfId="0" applyFont="1"/>
    <xf numFmtId="42" fontId="12" fillId="0" borderId="0" xfId="0" applyNumberFormat="1" applyFont="1"/>
    <xf numFmtId="42" fontId="11" fillId="0" borderId="0" xfId="0" applyNumberFormat="1" applyFont="1"/>
    <xf numFmtId="42" fontId="12" fillId="0" borderId="0" xfId="0" applyNumberFormat="1" applyFont="1" applyAlignment="1">
      <alignment horizontal="center"/>
    </xf>
    <xf numFmtId="37" fontId="12" fillId="0" borderId="0" xfId="3" applyNumberFormat="1" applyFont="1" applyBorder="1" applyAlignment="1">
      <alignment horizontal="right"/>
    </xf>
    <xf numFmtId="37" fontId="12" fillId="0" borderId="0" xfId="3" applyNumberFormat="1" applyFont="1" applyBorder="1" applyAlignment="1"/>
    <xf numFmtId="10" fontId="12" fillId="0" borderId="0" xfId="2" applyNumberFormat="1" applyFont="1" applyBorder="1" applyAlignment="1"/>
    <xf numFmtId="5" fontId="12" fillId="0" borderId="0" xfId="2" applyNumberFormat="1" applyFont="1" applyBorder="1" applyAlignment="1"/>
    <xf numFmtId="5" fontId="12" fillId="0" borderId="0" xfId="0" applyNumberFormat="1" applyFont="1"/>
    <xf numFmtId="42" fontId="14" fillId="0" borderId="0" xfId="0" applyNumberFormat="1" applyFont="1" applyAlignment="1">
      <alignment horizontal="center"/>
    </xf>
    <xf numFmtId="42" fontId="15" fillId="0" borderId="0" xfId="0" applyNumberFormat="1" applyFont="1" applyAlignment="1">
      <alignment horizontal="center"/>
    </xf>
    <xf numFmtId="37" fontId="12" fillId="0" borderId="0" xfId="3" applyNumberFormat="1" applyFont="1" applyBorder="1" applyAlignment="1">
      <alignment horizontal="center"/>
    </xf>
    <xf numFmtId="17" fontId="12" fillId="0" borderId="0" xfId="0" applyNumberFormat="1" applyFont="1" applyAlignment="1">
      <alignment horizontal="center"/>
    </xf>
    <xf numFmtId="10" fontId="12" fillId="0" borderId="0" xfId="0" applyNumberFormat="1" applyFont="1"/>
    <xf numFmtId="167" fontId="12" fillId="0" borderId="0" xfId="7" applyNumberFormat="1" applyFont="1" applyBorder="1" applyAlignment="1"/>
    <xf numFmtId="168" fontId="12" fillId="0" borderId="0" xfId="0" applyNumberFormat="1" applyFont="1" applyAlignment="1">
      <alignment horizontal="center"/>
    </xf>
    <xf numFmtId="164" fontId="11" fillId="0" borderId="0" xfId="3" applyNumberFormat="1" applyFont="1" applyBorder="1" applyAlignment="1"/>
    <xf numFmtId="4" fontId="12" fillId="0" borderId="0" xfId="0" applyNumberFormat="1" applyFont="1"/>
    <xf numFmtId="37" fontId="12" fillId="5" borderId="0" xfId="3" applyNumberFormat="1" applyFont="1" applyFill="1" applyBorder="1" applyAlignment="1">
      <alignment horizontal="center"/>
    </xf>
    <xf numFmtId="17" fontId="12" fillId="5" borderId="0" xfId="0" applyNumberFormat="1" applyFont="1" applyFill="1" applyAlignment="1">
      <alignment horizontal="center"/>
    </xf>
    <xf numFmtId="10" fontId="12" fillId="5" borderId="0" xfId="0" applyNumberFormat="1" applyFont="1" applyFill="1"/>
    <xf numFmtId="167" fontId="12" fillId="5" borderId="0" xfId="7" applyNumberFormat="1" applyFont="1" applyFill="1" applyBorder="1" applyAlignment="1"/>
    <xf numFmtId="168" fontId="12" fillId="5" borderId="0" xfId="3" applyNumberFormat="1" applyFont="1" applyFill="1" applyBorder="1" applyAlignment="1">
      <alignment horizontal="center"/>
    </xf>
    <xf numFmtId="168" fontId="12" fillId="5" borderId="0" xfId="0" applyNumberFormat="1" applyFont="1" applyFill="1" applyAlignment="1">
      <alignment horizontal="center"/>
    </xf>
    <xf numFmtId="37" fontId="12" fillId="6" borderId="0" xfId="3" applyNumberFormat="1" applyFont="1" applyFill="1" applyBorder="1" applyAlignment="1">
      <alignment horizontal="center"/>
    </xf>
    <xf numFmtId="0" fontId="22" fillId="0" borderId="6" xfId="0" applyFont="1" applyBorder="1"/>
    <xf numFmtId="0" fontId="22" fillId="9" borderId="0" xfId="0" applyFont="1" applyFill="1"/>
    <xf numFmtId="164" fontId="22" fillId="9" borderId="0" xfId="3" applyNumberFormat="1" applyFont="1" applyFill="1" applyBorder="1" applyAlignment="1"/>
    <xf numFmtId="0" fontId="22" fillId="3" borderId="15" xfId="0" applyFont="1" applyFill="1" applyBorder="1" applyAlignment="1">
      <alignment horizontal="center"/>
    </xf>
    <xf numFmtId="0" fontId="22" fillId="3" borderId="13" xfId="0" applyFont="1" applyFill="1" applyBorder="1" applyAlignment="1">
      <alignment horizontal="center"/>
    </xf>
    <xf numFmtId="0" fontId="22" fillId="3" borderId="14" xfId="0" applyFont="1" applyFill="1" applyBorder="1" applyAlignment="1">
      <alignment horizontal="center"/>
    </xf>
    <xf numFmtId="14" fontId="31" fillId="8" borderId="12" xfId="0" applyNumberFormat="1" applyFont="1" applyFill="1" applyBorder="1" applyAlignment="1">
      <alignment horizontal="center"/>
    </xf>
    <xf numFmtId="37" fontId="31" fillId="8" borderId="12" xfId="0" applyNumberFormat="1" applyFont="1" applyFill="1" applyBorder="1" applyAlignment="1">
      <alignment horizontal="center"/>
    </xf>
    <xf numFmtId="5" fontId="31" fillId="8" borderId="12" xfId="0" applyNumberFormat="1" applyFont="1" applyFill="1" applyBorder="1" applyAlignment="1">
      <alignment horizontal="center"/>
    </xf>
    <xf numFmtId="5" fontId="22" fillId="4" borderId="12" xfId="0" applyNumberFormat="1" applyFont="1" applyFill="1" applyBorder="1" applyAlignment="1">
      <alignment horizontal="center"/>
    </xf>
    <xf numFmtId="0" fontId="20" fillId="2" borderId="9" xfId="0" applyFont="1" applyFill="1" applyBorder="1" applyAlignment="1">
      <alignment horizontal="right" vertical="center"/>
    </xf>
    <xf numFmtId="37" fontId="25" fillId="4" borderId="12" xfId="0" applyNumberFormat="1" applyFont="1" applyFill="1" applyBorder="1" applyAlignment="1">
      <alignment horizontal="center"/>
    </xf>
    <xf numFmtId="0" fontId="22" fillId="0" borderId="0" xfId="0" applyFont="1" applyAlignment="1">
      <alignment horizontal="left" indent="1"/>
    </xf>
    <xf numFmtId="0" fontId="26" fillId="0" borderId="0" xfId="0" applyFont="1"/>
    <xf numFmtId="5" fontId="22" fillId="5" borderId="18" xfId="0" applyNumberFormat="1" applyFont="1" applyFill="1" applyBorder="1" applyAlignment="1">
      <alignment horizontal="center"/>
    </xf>
    <xf numFmtId="42" fontId="22" fillId="4" borderId="1" xfId="0" applyNumberFormat="1" applyFont="1" applyFill="1" applyBorder="1" applyAlignment="1">
      <alignment horizontal="right"/>
    </xf>
    <xf numFmtId="0" fontId="22" fillId="0" borderId="11" xfId="0" applyFont="1" applyBorder="1"/>
    <xf numFmtId="0" fontId="22" fillId="5" borderId="10" xfId="0" applyFont="1" applyFill="1" applyBorder="1"/>
    <xf numFmtId="0" fontId="22" fillId="4" borderId="6" xfId="0" applyFont="1" applyFill="1" applyBorder="1"/>
    <xf numFmtId="0" fontId="22" fillId="4" borderId="4" xfId="0" applyFont="1" applyFill="1" applyBorder="1"/>
    <xf numFmtId="0" fontId="22" fillId="5" borderId="9" xfId="0" applyFont="1" applyFill="1" applyBorder="1"/>
    <xf numFmtId="10" fontId="25" fillId="5" borderId="17" xfId="2" applyNumberFormat="1" applyFont="1" applyFill="1" applyBorder="1" applyAlignment="1">
      <alignment horizontal="center"/>
    </xf>
    <xf numFmtId="0" fontId="25" fillId="0" borderId="0" xfId="0" applyFont="1" applyAlignment="1">
      <alignment horizontal="left" indent="1"/>
    </xf>
    <xf numFmtId="42" fontId="23" fillId="5" borderId="1" xfId="0" applyNumberFormat="1" applyFont="1" applyFill="1" applyBorder="1" applyAlignment="1">
      <alignment horizontal="right"/>
    </xf>
    <xf numFmtId="42" fontId="25" fillId="4" borderId="17" xfId="0" applyNumberFormat="1" applyFont="1" applyFill="1" applyBorder="1" applyAlignment="1">
      <alignment horizontal="right"/>
    </xf>
    <xf numFmtId="42" fontId="23" fillId="5" borderId="17" xfId="0" applyNumberFormat="1" applyFont="1" applyFill="1" applyBorder="1" applyAlignment="1">
      <alignment horizontal="right"/>
    </xf>
    <xf numFmtId="166" fontId="25" fillId="4" borderId="3" xfId="0" applyNumberFormat="1" applyFont="1" applyFill="1" applyBorder="1" applyAlignment="1">
      <alignment horizontal="center"/>
    </xf>
    <xf numFmtId="166" fontId="23" fillId="5" borderId="3" xfId="0" applyNumberFormat="1" applyFont="1" applyFill="1" applyBorder="1" applyAlignment="1">
      <alignment horizontal="center"/>
    </xf>
    <xf numFmtId="5" fontId="31" fillId="8" borderId="18" xfId="3" applyNumberFormat="1" applyFont="1" applyFill="1" applyBorder="1" applyAlignment="1">
      <alignment horizontal="center"/>
    </xf>
    <xf numFmtId="10" fontId="25" fillId="0" borderId="0" xfId="2" applyNumberFormat="1" applyFont="1" applyFill="1" applyBorder="1" applyAlignment="1">
      <alignment vertical="center"/>
    </xf>
    <xf numFmtId="0" fontId="22" fillId="0" borderId="0" xfId="0" applyFont="1" applyAlignment="1">
      <alignment horizontal="center"/>
    </xf>
    <xf numFmtId="10" fontId="22" fillId="0" borderId="0" xfId="0" applyNumberFormat="1" applyFont="1" applyAlignment="1">
      <alignment horizontal="right"/>
    </xf>
    <xf numFmtId="0" fontId="23" fillId="0" borderId="5" xfId="0" applyFont="1" applyBorder="1" applyAlignment="1">
      <alignment horizontal="left" indent="1"/>
    </xf>
    <xf numFmtId="37" fontId="24" fillId="0" borderId="0" xfId="0" applyNumberFormat="1" applyFont="1" applyAlignment="1">
      <alignment vertical="center" wrapText="1"/>
    </xf>
    <xf numFmtId="0" fontId="23" fillId="0" borderId="5" xfId="0" applyFont="1" applyBorder="1" applyAlignment="1">
      <alignment horizontal="center" vertical="center"/>
    </xf>
    <xf numFmtId="0" fontId="34" fillId="0" borderId="0" xfId="0" applyFont="1"/>
    <xf numFmtId="0" fontId="24" fillId="0" borderId="5" xfId="0" applyFont="1" applyBorder="1" applyAlignment="1">
      <alignment horizontal="center" vertical="center"/>
    </xf>
    <xf numFmtId="3" fontId="21" fillId="0" borderId="9" xfId="0" applyNumberFormat="1" applyFont="1" applyBorder="1"/>
    <xf numFmtId="3" fontId="22" fillId="0" borderId="2" xfId="0" applyNumberFormat="1" applyFont="1" applyBorder="1"/>
    <xf numFmtId="3" fontId="23" fillId="5" borderId="2" xfId="0" applyNumberFormat="1" applyFont="1" applyFill="1" applyBorder="1"/>
    <xf numFmtId="3" fontId="22" fillId="5" borderId="2" xfId="0" applyNumberFormat="1" applyFont="1" applyFill="1" applyBorder="1"/>
    <xf numFmtId="3" fontId="22" fillId="4" borderId="6" xfId="0" applyNumberFormat="1" applyFont="1" applyFill="1" applyBorder="1"/>
    <xf numFmtId="3" fontId="22" fillId="4" borderId="7" xfId="0" applyNumberFormat="1" applyFont="1" applyFill="1" applyBorder="1"/>
    <xf numFmtId="3" fontId="25" fillId="4" borderId="7" xfId="0" applyNumberFormat="1" applyFont="1" applyFill="1" applyBorder="1"/>
    <xf numFmtId="3" fontId="22" fillId="4" borderId="4" xfId="0" applyNumberFormat="1" applyFont="1" applyFill="1" applyBorder="1"/>
    <xf numFmtId="3" fontId="22" fillId="4" borderId="0" xfId="0" applyNumberFormat="1" applyFont="1" applyFill="1"/>
    <xf numFmtId="0" fontId="22" fillId="4" borderId="7" xfId="0" applyFont="1" applyFill="1" applyBorder="1"/>
    <xf numFmtId="0" fontId="22" fillId="4" borderId="0" xfId="0" applyFont="1" applyFill="1"/>
    <xf numFmtId="10" fontId="22" fillId="4" borderId="0" xfId="2" applyNumberFormat="1" applyFont="1" applyFill="1" applyBorder="1" applyAlignment="1">
      <alignment horizontal="center"/>
    </xf>
    <xf numFmtId="3" fontId="25" fillId="4" borderId="6" xfId="0" applyNumberFormat="1" applyFont="1" applyFill="1" applyBorder="1"/>
    <xf numFmtId="3" fontId="23" fillId="4" borderId="7" xfId="0" applyNumberFormat="1" applyFont="1" applyFill="1" applyBorder="1"/>
    <xf numFmtId="0" fontId="22" fillId="5" borderId="2" xfId="0" applyFont="1" applyFill="1" applyBorder="1"/>
    <xf numFmtId="10" fontId="22" fillId="5" borderId="1" xfId="2" applyNumberFormat="1" applyFont="1" applyFill="1" applyBorder="1"/>
    <xf numFmtId="10" fontId="22" fillId="5" borderId="2" xfId="2" applyNumberFormat="1" applyFont="1" applyFill="1" applyBorder="1"/>
    <xf numFmtId="10" fontId="22" fillId="4" borderId="10" xfId="2" applyNumberFormat="1" applyFont="1" applyFill="1" applyBorder="1"/>
    <xf numFmtId="10" fontId="22" fillId="4" borderId="9" xfId="2" applyNumberFormat="1" applyFont="1" applyFill="1" applyBorder="1"/>
    <xf numFmtId="10" fontId="22" fillId="5" borderId="0" xfId="1" applyNumberFormat="1" applyFont="1" applyFill="1" applyBorder="1" applyAlignment="1">
      <alignment horizontal="right"/>
    </xf>
    <xf numFmtId="5" fontId="22" fillId="4" borderId="15" xfId="0" applyNumberFormat="1" applyFont="1" applyFill="1" applyBorder="1" applyAlignment="1">
      <alignment horizontal="center"/>
    </xf>
    <xf numFmtId="0" fontId="22" fillId="0" borderId="0" xfId="0" applyFont="1" applyAlignment="1">
      <alignment horizontal="right"/>
    </xf>
    <xf numFmtId="0" fontId="25" fillId="4" borderId="4" xfId="0" applyFont="1" applyFill="1" applyBorder="1"/>
    <xf numFmtId="3" fontId="25" fillId="4" borderId="4" xfId="0" applyNumberFormat="1" applyFont="1" applyFill="1" applyBorder="1"/>
    <xf numFmtId="3" fontId="23" fillId="4" borderId="0" xfId="0" applyNumberFormat="1" applyFont="1" applyFill="1"/>
    <xf numFmtId="0" fontId="23" fillId="5" borderId="2" xfId="0" applyFont="1" applyFill="1" applyBorder="1"/>
    <xf numFmtId="3" fontId="26" fillId="11" borderId="1" xfId="0" applyNumberFormat="1" applyFont="1" applyFill="1" applyBorder="1"/>
    <xf numFmtId="3" fontId="26" fillId="11" borderId="2" xfId="0" applyNumberFormat="1" applyFont="1" applyFill="1" applyBorder="1"/>
    <xf numFmtId="3" fontId="26" fillId="11" borderId="2" xfId="0" applyNumberFormat="1" applyFont="1" applyFill="1" applyBorder="1" applyAlignment="1">
      <alignment horizontal="center"/>
    </xf>
    <xf numFmtId="1" fontId="22" fillId="0" borderId="7" xfId="3" applyNumberFormat="1" applyFont="1" applyFill="1" applyBorder="1" applyAlignment="1"/>
    <xf numFmtId="3" fontId="22" fillId="0" borderId="2" xfId="2" applyNumberFormat="1" applyFont="1" applyFill="1" applyBorder="1" applyAlignment="1">
      <alignment horizontal="center"/>
    </xf>
    <xf numFmtId="0" fontId="22" fillId="0" borderId="2" xfId="0" applyFont="1" applyBorder="1"/>
    <xf numFmtId="164" fontId="24" fillId="0" borderId="7" xfId="3" applyNumberFormat="1" applyFont="1" applyFill="1" applyBorder="1" applyAlignment="1">
      <alignment wrapText="1"/>
    </xf>
    <xf numFmtId="3" fontId="26" fillId="0" borderId="0" xfId="0" applyNumberFormat="1" applyFont="1"/>
    <xf numFmtId="37" fontId="25" fillId="0" borderId="0" xfId="3" applyNumberFormat="1" applyFont="1" applyFill="1" applyBorder="1" applyAlignment="1"/>
    <xf numFmtId="3" fontId="22" fillId="4" borderId="1" xfId="3" applyNumberFormat="1" applyFont="1" applyFill="1" applyBorder="1" applyAlignment="1"/>
    <xf numFmtId="3" fontId="22" fillId="4" borderId="2" xfId="3" applyNumberFormat="1" applyFont="1" applyFill="1" applyBorder="1" applyAlignment="1"/>
    <xf numFmtId="3" fontId="22" fillId="4" borderId="3" xfId="3" applyNumberFormat="1" applyFont="1" applyFill="1" applyBorder="1" applyAlignment="1"/>
    <xf numFmtId="3" fontId="26" fillId="11" borderId="16" xfId="0" applyNumberFormat="1" applyFont="1" applyFill="1" applyBorder="1" applyAlignment="1">
      <alignment horizontal="center"/>
    </xf>
    <xf numFmtId="3" fontId="26" fillId="11" borderId="17" xfId="0" applyNumberFormat="1" applyFont="1" applyFill="1" applyBorder="1" applyAlignment="1">
      <alignment horizontal="center"/>
    </xf>
    <xf numFmtId="3" fontId="26" fillId="11" borderId="18" xfId="0" applyNumberFormat="1" applyFont="1" applyFill="1" applyBorder="1" applyAlignment="1">
      <alignment horizontal="center"/>
    </xf>
    <xf numFmtId="3" fontId="26" fillId="11" borderId="33" xfId="0" applyNumberFormat="1" applyFont="1" applyFill="1" applyBorder="1" applyAlignment="1">
      <alignment horizontal="center"/>
    </xf>
    <xf numFmtId="3" fontId="26" fillId="11" borderId="12" xfId="0" applyNumberFormat="1" applyFont="1" applyFill="1" applyBorder="1" applyAlignment="1">
      <alignment horizontal="center"/>
    </xf>
    <xf numFmtId="42" fontId="22" fillId="3" borderId="12" xfId="3" applyNumberFormat="1" applyFont="1" applyFill="1" applyBorder="1" applyAlignment="1"/>
    <xf numFmtId="42" fontId="22" fillId="3" borderId="17" xfId="3" applyNumberFormat="1" applyFont="1" applyFill="1" applyBorder="1" applyAlignment="1"/>
    <xf numFmtId="42" fontId="22" fillId="3" borderId="18" xfId="3" applyNumberFormat="1" applyFont="1" applyFill="1" applyBorder="1" applyAlignment="1"/>
    <xf numFmtId="5" fontId="32" fillId="4" borderId="12" xfId="3" applyNumberFormat="1" applyFont="1" applyFill="1" applyBorder="1" applyAlignment="1"/>
    <xf numFmtId="5" fontId="32" fillId="4" borderId="17" xfId="3" applyNumberFormat="1" applyFont="1" applyFill="1" applyBorder="1" applyAlignment="1"/>
    <xf numFmtId="5" fontId="32" fillId="4" borderId="18" xfId="3" applyNumberFormat="1" applyFont="1" applyFill="1" applyBorder="1" applyAlignment="1"/>
    <xf numFmtId="5" fontId="32" fillId="4" borderId="33" xfId="3" applyNumberFormat="1" applyFont="1" applyFill="1" applyBorder="1" applyAlignment="1"/>
    <xf numFmtId="42" fontId="25" fillId="5" borderId="12" xfId="3" applyNumberFormat="1" applyFont="1" applyFill="1" applyBorder="1" applyAlignment="1"/>
    <xf numFmtId="0" fontId="7" fillId="0" borderId="0" xfId="0" applyFont="1" applyAlignment="1">
      <alignment horizontal="center"/>
    </xf>
    <xf numFmtId="42" fontId="25" fillId="5" borderId="17" xfId="3" applyNumberFormat="1" applyFont="1" applyFill="1" applyBorder="1" applyAlignment="1"/>
    <xf numFmtId="42" fontId="25" fillId="5" borderId="18" xfId="3" applyNumberFormat="1" applyFont="1" applyFill="1" applyBorder="1" applyAlignment="1"/>
    <xf numFmtId="42" fontId="25" fillId="5" borderId="33" xfId="3" applyNumberFormat="1" applyFont="1" applyFill="1" applyBorder="1" applyAlignment="1"/>
    <xf numFmtId="170" fontId="31" fillId="8" borderId="12" xfId="2" applyNumberFormat="1" applyFont="1" applyFill="1" applyBorder="1" applyAlignment="1">
      <alignment horizontal="center"/>
    </xf>
    <xf numFmtId="170" fontId="38" fillId="10" borderId="19" xfId="1" applyNumberFormat="1" applyFont="1" applyFill="1" applyBorder="1" applyAlignment="1"/>
    <xf numFmtId="170" fontId="38" fillId="10" borderId="27" xfId="1" applyNumberFormat="1" applyFont="1" applyFill="1" applyBorder="1" applyAlignment="1"/>
    <xf numFmtId="170" fontId="22" fillId="4" borderId="36" xfId="2" applyNumberFormat="1" applyFont="1" applyFill="1" applyBorder="1" applyAlignment="1"/>
    <xf numFmtId="9" fontId="22" fillId="4" borderId="39" xfId="2" applyFont="1" applyFill="1" applyBorder="1" applyAlignment="1"/>
    <xf numFmtId="9" fontId="22" fillId="4" borderId="35" xfId="2" applyFont="1" applyFill="1" applyBorder="1" applyAlignment="1"/>
    <xf numFmtId="9" fontId="22" fillId="4" borderId="36" xfId="2" applyFont="1" applyFill="1" applyBorder="1" applyAlignment="1"/>
    <xf numFmtId="0" fontId="6" fillId="0" borderId="0" xfId="0" applyFont="1"/>
    <xf numFmtId="170" fontId="22" fillId="4" borderId="12" xfId="2" applyNumberFormat="1" applyFont="1" applyFill="1" applyBorder="1" applyAlignment="1">
      <alignment horizontal="center"/>
    </xf>
    <xf numFmtId="42" fontId="6" fillId="3" borderId="12" xfId="3" applyNumberFormat="1" applyFont="1" applyFill="1" applyBorder="1" applyAlignment="1"/>
    <xf numFmtId="3" fontId="23" fillId="3" borderId="16" xfId="0" applyNumberFormat="1" applyFont="1" applyFill="1" applyBorder="1" applyAlignment="1">
      <alignment horizontal="center"/>
    </xf>
    <xf numFmtId="3" fontId="23" fillId="3" borderId="17" xfId="0" applyNumberFormat="1" applyFont="1" applyFill="1" applyBorder="1" applyAlignment="1">
      <alignment horizontal="center"/>
    </xf>
    <xf numFmtId="3" fontId="23" fillId="3" borderId="18" xfId="0" applyNumberFormat="1" applyFont="1" applyFill="1" applyBorder="1" applyAlignment="1">
      <alignment horizontal="center"/>
    </xf>
    <xf numFmtId="3" fontId="23" fillId="3" borderId="33" xfId="0" applyNumberFormat="1" applyFont="1" applyFill="1" applyBorder="1" applyAlignment="1">
      <alignment horizontal="center"/>
    </xf>
    <xf numFmtId="3" fontId="6" fillId="0" borderId="0" xfId="0" applyNumberFormat="1" applyFont="1"/>
    <xf numFmtId="42" fontId="6" fillId="5" borderId="13" xfId="3" applyNumberFormat="1" applyFont="1" applyFill="1" applyBorder="1" applyAlignment="1"/>
    <xf numFmtId="42" fontId="6" fillId="5" borderId="14" xfId="3" applyNumberFormat="1" applyFont="1" applyFill="1" applyBorder="1" applyAlignment="1"/>
    <xf numFmtId="42" fontId="6" fillId="5" borderId="12" xfId="3" applyNumberFormat="1" applyFont="1" applyFill="1" applyBorder="1" applyAlignment="1"/>
    <xf numFmtId="169" fontId="31" fillId="8" borderId="12" xfId="0" applyNumberFormat="1" applyFont="1" applyFill="1" applyBorder="1" applyAlignment="1">
      <alignment horizontal="center"/>
    </xf>
    <xf numFmtId="5" fontId="16" fillId="5" borderId="31" xfId="0" applyNumberFormat="1" applyFont="1" applyFill="1" applyBorder="1" applyAlignment="1">
      <alignment horizontal="center"/>
    </xf>
    <xf numFmtId="37" fontId="16" fillId="5" borderId="33" xfId="0" applyNumberFormat="1" applyFont="1" applyFill="1" applyBorder="1" applyAlignment="1">
      <alignment horizontal="center"/>
    </xf>
    <xf numFmtId="0" fontId="10" fillId="3" borderId="7" xfId="0" applyFont="1" applyFill="1" applyBorder="1"/>
    <xf numFmtId="3" fontId="33" fillId="0" borderId="0" xfId="0" applyNumberFormat="1" applyFont="1" applyAlignment="1">
      <alignment horizontal="left" indent="1"/>
    </xf>
    <xf numFmtId="0" fontId="10" fillId="3" borderId="6" xfId="0" applyFont="1" applyFill="1" applyBorder="1"/>
    <xf numFmtId="171" fontId="10" fillId="4" borderId="19" xfId="0" applyNumberFormat="1" applyFont="1" applyFill="1" applyBorder="1" applyAlignment="1">
      <alignment horizontal="center"/>
    </xf>
    <xf numFmtId="171" fontId="10" fillId="4" borderId="20" xfId="0" applyNumberFormat="1" applyFont="1" applyFill="1" applyBorder="1" applyAlignment="1">
      <alignment horizontal="center"/>
    </xf>
    <xf numFmtId="171" fontId="10" fillId="4" borderId="21" xfId="0" applyNumberFormat="1" applyFont="1" applyFill="1" applyBorder="1" applyAlignment="1">
      <alignment horizontal="center"/>
    </xf>
    <xf numFmtId="171" fontId="10" fillId="4" borderId="22" xfId="0" applyNumberFormat="1" applyFont="1" applyFill="1" applyBorder="1" applyAlignment="1">
      <alignment horizontal="center"/>
    </xf>
    <xf numFmtId="171" fontId="10" fillId="4" borderId="23" xfId="0" applyNumberFormat="1" applyFont="1" applyFill="1" applyBorder="1" applyAlignment="1">
      <alignment horizontal="center"/>
    </xf>
    <xf numFmtId="171" fontId="10" fillId="4" borderId="24" xfId="0" applyNumberFormat="1" applyFont="1" applyFill="1" applyBorder="1" applyAlignment="1">
      <alignment horizontal="center"/>
    </xf>
    <xf numFmtId="171" fontId="10" fillId="4" borderId="25" xfId="0" applyNumberFormat="1" applyFont="1" applyFill="1" applyBorder="1" applyAlignment="1">
      <alignment horizontal="center"/>
    </xf>
    <xf numFmtId="171" fontId="10" fillId="4" borderId="26" xfId="0" applyNumberFormat="1" applyFont="1" applyFill="1" applyBorder="1" applyAlignment="1">
      <alignment horizontal="center"/>
    </xf>
    <xf numFmtId="171" fontId="10" fillId="4" borderId="27" xfId="0" applyNumberFormat="1" applyFont="1" applyFill="1" applyBorder="1" applyAlignment="1">
      <alignment horizontal="center"/>
    </xf>
    <xf numFmtId="171" fontId="10" fillId="4" borderId="28" xfId="0" applyNumberFormat="1" applyFont="1" applyFill="1" applyBorder="1" applyAlignment="1">
      <alignment horizontal="center"/>
    </xf>
    <xf numFmtId="171" fontId="10" fillId="4" borderId="29" xfId="0" applyNumberFormat="1" applyFont="1" applyFill="1" applyBorder="1" applyAlignment="1">
      <alignment horizontal="center"/>
    </xf>
    <xf numFmtId="171" fontId="10" fillId="4" borderId="30" xfId="0" applyNumberFormat="1" applyFont="1" applyFill="1" applyBorder="1" applyAlignment="1">
      <alignment horizontal="center"/>
    </xf>
    <xf numFmtId="5" fontId="12" fillId="4" borderId="21" xfId="3" applyNumberFormat="1" applyFont="1" applyFill="1" applyBorder="1" applyAlignment="1">
      <alignment horizontal="center"/>
    </xf>
    <xf numFmtId="5" fontId="12" fillId="4" borderId="25" xfId="3" applyNumberFormat="1" applyFont="1" applyFill="1" applyBorder="1" applyAlignment="1">
      <alignment horizontal="center"/>
    </xf>
    <xf numFmtId="5" fontId="12" fillId="4" borderId="29" xfId="3" applyNumberFormat="1" applyFont="1" applyFill="1" applyBorder="1" applyAlignment="1">
      <alignment horizontal="center"/>
    </xf>
    <xf numFmtId="37" fontId="25" fillId="5" borderId="12" xfId="0" applyNumberFormat="1" applyFont="1" applyFill="1" applyBorder="1" applyAlignment="1">
      <alignment horizontal="center"/>
    </xf>
    <xf numFmtId="37" fontId="22" fillId="4" borderId="19" xfId="0" applyNumberFormat="1" applyFont="1" applyFill="1" applyBorder="1" applyAlignment="1">
      <alignment horizontal="center"/>
    </xf>
    <xf numFmtId="37" fontId="22" fillId="4" borderId="27" xfId="0" applyNumberFormat="1" applyFont="1" applyFill="1" applyBorder="1" applyAlignment="1">
      <alignment horizontal="center"/>
    </xf>
    <xf numFmtId="0" fontId="22" fillId="4" borderId="45" xfId="0" applyFont="1" applyFill="1" applyBorder="1"/>
    <xf numFmtId="0" fontId="22" fillId="4" borderId="52" xfId="0" applyFont="1" applyFill="1" applyBorder="1"/>
    <xf numFmtId="10" fontId="31" fillId="8" borderId="21" xfId="2" applyNumberFormat="1" applyFont="1" applyFill="1" applyBorder="1" applyAlignment="1">
      <alignment horizontal="center"/>
    </xf>
    <xf numFmtId="5" fontId="22" fillId="4" borderId="22" xfId="0" applyNumberFormat="1" applyFont="1" applyFill="1" applyBorder="1" applyAlignment="1">
      <alignment horizontal="center"/>
    </xf>
    <xf numFmtId="0" fontId="22" fillId="4" borderId="49" xfId="0" applyFont="1" applyFill="1" applyBorder="1"/>
    <xf numFmtId="0" fontId="22" fillId="4" borderId="53" xfId="0" applyFont="1" applyFill="1" applyBorder="1"/>
    <xf numFmtId="10" fontId="25" fillId="4" borderId="29" xfId="2" applyNumberFormat="1" applyFont="1" applyFill="1" applyBorder="1" applyAlignment="1">
      <alignment horizontal="center"/>
    </xf>
    <xf numFmtId="5" fontId="22" fillId="4" borderId="30" xfId="0" applyNumberFormat="1" applyFont="1" applyFill="1" applyBorder="1" applyAlignment="1">
      <alignment horizontal="center"/>
    </xf>
    <xf numFmtId="37" fontId="10" fillId="3" borderId="20" xfId="0" applyNumberFormat="1" applyFont="1" applyFill="1" applyBorder="1" applyAlignment="1">
      <alignment horizontal="center"/>
    </xf>
    <xf numFmtId="37" fontId="12" fillId="3" borderId="28" xfId="0" applyNumberFormat="1" applyFont="1" applyFill="1" applyBorder="1" applyAlignment="1">
      <alignment horizontal="center"/>
    </xf>
    <xf numFmtId="5" fontId="10" fillId="3" borderId="21" xfId="0" applyNumberFormat="1" applyFont="1" applyFill="1" applyBorder="1" applyAlignment="1">
      <alignment horizontal="center"/>
    </xf>
    <xf numFmtId="5" fontId="10" fillId="3" borderId="29" xfId="0" applyNumberFormat="1" applyFont="1" applyFill="1" applyBorder="1" applyAlignment="1">
      <alignment horizontal="center"/>
    </xf>
    <xf numFmtId="0" fontId="16" fillId="3" borderId="4" xfId="0" applyFont="1" applyFill="1" applyBorder="1" applyAlignment="1">
      <alignment horizontal="center"/>
    </xf>
    <xf numFmtId="0" fontId="41" fillId="7" borderId="12" xfId="0" applyFont="1" applyFill="1" applyBorder="1" applyAlignment="1">
      <alignment horizontal="center"/>
    </xf>
    <xf numFmtId="0" fontId="26" fillId="7" borderId="12" xfId="0" applyFont="1" applyFill="1" applyBorder="1" applyAlignment="1">
      <alignment horizontal="center"/>
    </xf>
    <xf numFmtId="42" fontId="25" fillId="4" borderId="45" xfId="0" applyNumberFormat="1" applyFont="1" applyFill="1" applyBorder="1" applyAlignment="1">
      <alignment horizontal="right"/>
    </xf>
    <xf numFmtId="42" fontId="25" fillId="4" borderId="21" xfId="0" applyNumberFormat="1" applyFont="1" applyFill="1" applyBorder="1" applyAlignment="1">
      <alignment horizontal="right"/>
    </xf>
    <xf numFmtId="166" fontId="25" fillId="4" borderId="46" xfId="0" applyNumberFormat="1" applyFont="1" applyFill="1" applyBorder="1" applyAlignment="1">
      <alignment horizontal="center"/>
    </xf>
    <xf numFmtId="42" fontId="31" fillId="8" borderId="24" xfId="0" applyNumberFormat="1" applyFont="1" applyFill="1" applyBorder="1" applyAlignment="1">
      <alignment horizontal="right"/>
    </xf>
    <xf numFmtId="42" fontId="25" fillId="4" borderId="25" xfId="0" applyNumberFormat="1" applyFont="1" applyFill="1" applyBorder="1" applyAlignment="1">
      <alignment horizontal="right"/>
    </xf>
    <xf numFmtId="166" fontId="25" fillId="4" borderId="48" xfId="0" applyNumberFormat="1" applyFont="1" applyFill="1" applyBorder="1" applyAlignment="1">
      <alignment horizontal="center"/>
    </xf>
    <xf numFmtId="42" fontId="31" fillId="8" borderId="47" xfId="0" applyNumberFormat="1" applyFont="1" applyFill="1" applyBorder="1" applyAlignment="1">
      <alignment horizontal="right"/>
    </xf>
    <xf numFmtId="42" fontId="22" fillId="4" borderId="47" xfId="0" applyNumberFormat="1" applyFont="1" applyFill="1" applyBorder="1" applyAlignment="1">
      <alignment horizontal="right"/>
    </xf>
    <xf numFmtId="42" fontId="22" fillId="4" borderId="49" xfId="0" applyNumberFormat="1" applyFont="1" applyFill="1" applyBorder="1" applyAlignment="1">
      <alignment horizontal="right"/>
    </xf>
    <xf numFmtId="42" fontId="25" fillId="4" borderId="29" xfId="0" applyNumberFormat="1" applyFont="1" applyFill="1" applyBorder="1" applyAlignment="1">
      <alignment horizontal="right"/>
    </xf>
    <xf numFmtId="166" fontId="25" fillId="4" borderId="50" xfId="0" applyNumberFormat="1" applyFont="1" applyFill="1" applyBorder="1" applyAlignment="1">
      <alignment horizontal="center"/>
    </xf>
    <xf numFmtId="42" fontId="22" fillId="4" borderId="45" xfId="0" applyNumberFormat="1" applyFont="1" applyFill="1" applyBorder="1" applyAlignment="1">
      <alignment horizontal="right"/>
    </xf>
    <xf numFmtId="42" fontId="31" fillId="8" borderId="23" xfId="0" applyNumberFormat="1" applyFont="1" applyFill="1" applyBorder="1" applyAlignment="1">
      <alignment horizontal="right"/>
    </xf>
    <xf numFmtId="42" fontId="31" fillId="8" borderId="27" xfId="0" applyNumberFormat="1" applyFont="1" applyFill="1" applyBorder="1" applyAlignment="1">
      <alignment horizontal="right"/>
    </xf>
    <xf numFmtId="42" fontId="25" fillId="4" borderId="55" xfId="0" applyNumberFormat="1" applyFont="1" applyFill="1" applyBorder="1" applyAlignment="1">
      <alignment horizontal="right"/>
    </xf>
    <xf numFmtId="42" fontId="25" fillId="4" borderId="56" xfId="0" applyNumberFormat="1" applyFont="1" applyFill="1" applyBorder="1" applyAlignment="1">
      <alignment horizontal="right"/>
    </xf>
    <xf numFmtId="42" fontId="31" fillId="8" borderId="28" xfId="0" applyNumberFormat="1" applyFont="1" applyFill="1" applyBorder="1" applyAlignment="1">
      <alignment horizontal="right"/>
    </xf>
    <xf numFmtId="42" fontId="31" fillId="8" borderId="19" xfId="0" applyNumberFormat="1" applyFont="1" applyFill="1" applyBorder="1" applyAlignment="1">
      <alignment horizontal="right"/>
    </xf>
    <xf numFmtId="42" fontId="22" fillId="4" borderId="23" xfId="0" applyNumberFormat="1" applyFont="1" applyFill="1" applyBorder="1" applyAlignment="1">
      <alignment horizontal="right"/>
    </xf>
    <xf numFmtId="10" fontId="31" fillId="8" borderId="19" xfId="2" applyNumberFormat="1" applyFont="1" applyFill="1" applyBorder="1" applyAlignment="1">
      <alignment horizontal="center"/>
    </xf>
    <xf numFmtId="10" fontId="31" fillId="8" borderId="23" xfId="2" applyNumberFormat="1" applyFont="1" applyFill="1" applyBorder="1" applyAlignment="1">
      <alignment horizontal="center"/>
    </xf>
    <xf numFmtId="10" fontId="31" fillId="8" borderId="27" xfId="2" applyNumberFormat="1" applyFont="1" applyFill="1" applyBorder="1" applyAlignment="1">
      <alignment horizontal="center"/>
    </xf>
    <xf numFmtId="0" fontId="22" fillId="4" borderId="45" xfId="0" applyFont="1" applyFill="1" applyBorder="1" applyAlignment="1">
      <alignment horizontal="center"/>
    </xf>
    <xf numFmtId="9" fontId="31" fillId="8" borderId="21" xfId="5" applyNumberFormat="1" applyFont="1" applyFill="1" applyBorder="1" applyAlignment="1">
      <alignment horizontal="center"/>
    </xf>
    <xf numFmtId="5" fontId="22" fillId="4" borderId="46" xfId="0" applyNumberFormat="1" applyFont="1" applyFill="1" applyBorder="1" applyAlignment="1">
      <alignment horizontal="center"/>
    </xf>
    <xf numFmtId="0" fontId="22" fillId="4" borderId="47" xfId="0" applyFont="1" applyFill="1" applyBorder="1" applyAlignment="1">
      <alignment horizontal="center"/>
    </xf>
    <xf numFmtId="9" fontId="25" fillId="4" borderId="25" xfId="5" applyNumberFormat="1" applyFont="1" applyFill="1" applyBorder="1" applyAlignment="1">
      <alignment horizontal="center"/>
    </xf>
    <xf numFmtId="5" fontId="22" fillId="4" borderId="48" xfId="0" applyNumberFormat="1" applyFont="1" applyFill="1" applyBorder="1" applyAlignment="1">
      <alignment horizontal="center"/>
    </xf>
    <xf numFmtId="0" fontId="22" fillId="4" borderId="49" xfId="0" applyFont="1" applyFill="1" applyBorder="1" applyAlignment="1">
      <alignment horizontal="center"/>
    </xf>
    <xf numFmtId="5" fontId="22" fillId="4" borderId="50" xfId="0" applyNumberFormat="1" applyFont="1" applyFill="1" applyBorder="1" applyAlignment="1">
      <alignment horizontal="center"/>
    </xf>
    <xf numFmtId="42" fontId="22" fillId="4" borderId="20" xfId="3" applyNumberFormat="1" applyFont="1" applyFill="1" applyBorder="1" applyAlignment="1"/>
    <xf numFmtId="42" fontId="22" fillId="4" borderId="21" xfId="3" applyNumberFormat="1" applyFont="1" applyFill="1" applyBorder="1" applyAlignment="1"/>
    <xf numFmtId="42" fontId="22" fillId="4" borderId="22" xfId="3" applyNumberFormat="1" applyFont="1" applyFill="1" applyBorder="1" applyAlignment="1"/>
    <xf numFmtId="42" fontId="31" fillId="8" borderId="23" xfId="0" applyNumberFormat="1" applyFont="1" applyFill="1" applyBorder="1" applyAlignment="1">
      <alignment horizontal="center"/>
    </xf>
    <xf numFmtId="42" fontId="22" fillId="4" borderId="24" xfId="3" applyNumberFormat="1" applyFont="1" applyFill="1" applyBorder="1" applyAlignment="1"/>
    <xf numFmtId="42" fontId="22" fillId="4" borderId="25" xfId="3" applyNumberFormat="1" applyFont="1" applyFill="1" applyBorder="1" applyAlignment="1"/>
    <xf numFmtId="42" fontId="22" fillId="4" borderId="26" xfId="3" applyNumberFormat="1" applyFont="1" applyFill="1" applyBorder="1" applyAlignment="1"/>
    <xf numFmtId="42" fontId="31" fillId="8" borderId="27" xfId="0" applyNumberFormat="1" applyFont="1" applyFill="1" applyBorder="1" applyAlignment="1">
      <alignment horizontal="center"/>
    </xf>
    <xf numFmtId="42" fontId="22" fillId="4" borderId="28" xfId="3" applyNumberFormat="1" applyFont="1" applyFill="1" applyBorder="1" applyAlignment="1"/>
    <xf numFmtId="42" fontId="22" fillId="4" borderId="29" xfId="3" applyNumberFormat="1" applyFont="1" applyFill="1" applyBorder="1" applyAlignment="1"/>
    <xf numFmtId="42" fontId="22" fillId="4" borderId="30" xfId="3" applyNumberFormat="1" applyFont="1" applyFill="1" applyBorder="1" applyAlignment="1"/>
    <xf numFmtId="42" fontId="25" fillId="4" borderId="21" xfId="3" applyNumberFormat="1" applyFont="1" applyFill="1" applyBorder="1" applyAlignment="1"/>
    <xf numFmtId="42" fontId="25" fillId="4" borderId="22" xfId="3" applyNumberFormat="1" applyFont="1" applyFill="1" applyBorder="1" applyAlignment="1"/>
    <xf numFmtId="42" fontId="25" fillId="4" borderId="25" xfId="3" applyNumberFormat="1" applyFont="1" applyFill="1" applyBorder="1" applyAlignment="1"/>
    <xf numFmtId="42" fontId="25" fillId="4" borderId="26" xfId="3" applyNumberFormat="1" applyFont="1" applyFill="1" applyBorder="1" applyAlignment="1"/>
    <xf numFmtId="42" fontId="22" fillId="4" borderId="20" xfId="0" applyNumberFormat="1" applyFont="1" applyFill="1" applyBorder="1"/>
    <xf numFmtId="42" fontId="22" fillId="4" borderId="21" xfId="0" applyNumberFormat="1" applyFont="1" applyFill="1" applyBorder="1"/>
    <xf numFmtId="42" fontId="22" fillId="4" borderId="22" xfId="0" applyNumberFormat="1" applyFont="1" applyFill="1" applyBorder="1"/>
    <xf numFmtId="170" fontId="22" fillId="4" borderId="20" xfId="2" applyNumberFormat="1" applyFont="1" applyFill="1" applyBorder="1" applyAlignment="1"/>
    <xf numFmtId="170" fontId="22" fillId="4" borderId="21" xfId="2" applyNumberFormat="1" applyFont="1" applyFill="1" applyBorder="1" applyAlignment="1"/>
    <xf numFmtId="42" fontId="22" fillId="4" borderId="24" xfId="0" applyNumberFormat="1" applyFont="1" applyFill="1" applyBorder="1"/>
    <xf numFmtId="42" fontId="22" fillId="4" borderId="25" xfId="0" applyNumberFormat="1" applyFont="1" applyFill="1" applyBorder="1"/>
    <xf numFmtId="42" fontId="22" fillId="4" borderId="26" xfId="0" applyNumberFormat="1" applyFont="1" applyFill="1" applyBorder="1"/>
    <xf numFmtId="42" fontId="22" fillId="4" borderId="28" xfId="0" applyNumberFormat="1" applyFont="1" applyFill="1" applyBorder="1"/>
    <xf numFmtId="42" fontId="22" fillId="4" borderId="29" xfId="0" applyNumberFormat="1" applyFont="1" applyFill="1" applyBorder="1"/>
    <xf numFmtId="42" fontId="22" fillId="4" borderId="30" xfId="0" applyNumberFormat="1" applyFont="1" applyFill="1" applyBorder="1"/>
    <xf numFmtId="0" fontId="22" fillId="4" borderId="46" xfId="0" applyFont="1" applyFill="1" applyBorder="1"/>
    <xf numFmtId="164" fontId="22" fillId="4" borderId="58" xfId="3" applyNumberFormat="1" applyFont="1" applyFill="1" applyBorder="1" applyAlignment="1"/>
    <xf numFmtId="0" fontId="22" fillId="4" borderId="48" xfId="0" applyFont="1" applyFill="1" applyBorder="1"/>
    <xf numFmtId="3" fontId="7" fillId="4" borderId="47" xfId="0" applyNumberFormat="1" applyFont="1" applyFill="1" applyBorder="1" applyAlignment="1">
      <alignment horizontal="left" indent="1"/>
    </xf>
    <xf numFmtId="0" fontId="22" fillId="4" borderId="50" xfId="0" applyFont="1" applyFill="1" applyBorder="1"/>
    <xf numFmtId="164" fontId="22" fillId="4" borderId="60" xfId="3" applyNumberFormat="1" applyFont="1" applyFill="1" applyBorder="1" applyAlignment="1"/>
    <xf numFmtId="0" fontId="22" fillId="4" borderId="61" xfId="0" applyFont="1" applyFill="1" applyBorder="1"/>
    <xf numFmtId="164" fontId="22" fillId="4" borderId="2" xfId="3" applyNumberFormat="1" applyFont="1" applyFill="1" applyBorder="1" applyAlignment="1"/>
    <xf numFmtId="3" fontId="7" fillId="3" borderId="1" xfId="0" applyNumberFormat="1" applyFont="1" applyFill="1" applyBorder="1"/>
    <xf numFmtId="164" fontId="22" fillId="3" borderId="2" xfId="3" applyNumberFormat="1" applyFont="1" applyFill="1" applyBorder="1" applyAlignment="1"/>
    <xf numFmtId="0" fontId="22" fillId="3" borderId="3" xfId="0" applyFont="1" applyFill="1" applyBorder="1"/>
    <xf numFmtId="3" fontId="6" fillId="4" borderId="19" xfId="0" applyNumberFormat="1" applyFont="1" applyFill="1" applyBorder="1"/>
    <xf numFmtId="3" fontId="7" fillId="4" borderId="27" xfId="0" applyNumberFormat="1" applyFont="1" applyFill="1" applyBorder="1"/>
    <xf numFmtId="0" fontId="22" fillId="5" borderId="3" xfId="0" applyFont="1" applyFill="1" applyBorder="1"/>
    <xf numFmtId="3" fontId="33" fillId="4" borderId="1" xfId="0" applyNumberFormat="1" applyFont="1" applyFill="1" applyBorder="1" applyAlignment="1">
      <alignment horizontal="left"/>
    </xf>
    <xf numFmtId="3" fontId="6" fillId="5" borderId="1" xfId="0" applyNumberFormat="1" applyFont="1" applyFill="1" applyBorder="1"/>
    <xf numFmtId="10" fontId="31" fillId="8" borderId="2" xfId="2" applyNumberFormat="1" applyFont="1" applyFill="1" applyBorder="1" applyAlignment="1">
      <alignment horizontal="center"/>
    </xf>
    <xf numFmtId="5" fontId="25" fillId="4" borderId="46" xfId="0" applyNumberFormat="1" applyFont="1" applyFill="1" applyBorder="1" applyAlignment="1">
      <alignment horizontal="center"/>
    </xf>
    <xf numFmtId="5" fontId="25" fillId="4" borderId="48" xfId="0" applyNumberFormat="1" applyFont="1" applyFill="1" applyBorder="1" applyAlignment="1">
      <alignment horizontal="center"/>
    </xf>
    <xf numFmtId="5" fontId="25" fillId="4" borderId="50" xfId="0" applyNumberFormat="1" applyFont="1" applyFill="1" applyBorder="1" applyAlignment="1">
      <alignment horizontal="center"/>
    </xf>
    <xf numFmtId="5" fontId="25" fillId="5" borderId="3" xfId="0" applyNumberFormat="1" applyFont="1" applyFill="1" applyBorder="1" applyAlignment="1">
      <alignment horizontal="center"/>
    </xf>
    <xf numFmtId="10" fontId="31" fillId="8" borderId="7" xfId="2" applyNumberFormat="1" applyFont="1" applyFill="1" applyBorder="1" applyAlignment="1">
      <alignment horizontal="center"/>
    </xf>
    <xf numFmtId="3" fontId="6" fillId="4" borderId="23" xfId="0" applyNumberFormat="1" applyFont="1" applyFill="1" applyBorder="1"/>
    <xf numFmtId="3" fontId="7" fillId="4" borderId="23" xfId="0" applyNumberFormat="1" applyFont="1" applyFill="1" applyBorder="1"/>
    <xf numFmtId="3" fontId="7" fillId="4" borderId="19" xfId="0" applyNumberFormat="1" applyFont="1" applyFill="1" applyBorder="1"/>
    <xf numFmtId="164" fontId="33" fillId="4" borderId="2" xfId="3" applyNumberFormat="1" applyFont="1" applyFill="1" applyBorder="1" applyAlignment="1"/>
    <xf numFmtId="164" fontId="26" fillId="4" borderId="3" xfId="3" applyNumberFormat="1" applyFont="1" applyFill="1" applyBorder="1" applyAlignment="1">
      <alignment wrapText="1"/>
    </xf>
    <xf numFmtId="3" fontId="43" fillId="0" borderId="0" xfId="0" applyNumberFormat="1" applyFont="1"/>
    <xf numFmtId="164" fontId="44" fillId="0" borderId="0" xfId="3" applyNumberFormat="1" applyFont="1" applyFill="1" applyBorder="1" applyAlignment="1"/>
    <xf numFmtId="164" fontId="43" fillId="0" borderId="0" xfId="3" applyNumberFormat="1" applyFont="1" applyFill="1" applyBorder="1" applyAlignment="1">
      <alignment wrapText="1"/>
    </xf>
    <xf numFmtId="42" fontId="44" fillId="0" borderId="0" xfId="3" applyNumberFormat="1" applyFont="1" applyFill="1" applyBorder="1" applyAlignment="1"/>
    <xf numFmtId="42" fontId="43" fillId="0" borderId="0" xfId="3" applyNumberFormat="1" applyFont="1" applyFill="1" applyBorder="1" applyAlignment="1"/>
    <xf numFmtId="0" fontId="26" fillId="3" borderId="6" xfId="0" applyFont="1" applyFill="1" applyBorder="1"/>
    <xf numFmtId="0" fontId="22" fillId="3" borderId="8" xfId="0" applyFont="1" applyFill="1" applyBorder="1"/>
    <xf numFmtId="0" fontId="26" fillId="3" borderId="10" xfId="0" applyFont="1" applyFill="1" applyBorder="1"/>
    <xf numFmtId="0" fontId="22" fillId="3" borderId="11" xfId="0" applyFont="1" applyFill="1" applyBorder="1"/>
    <xf numFmtId="0" fontId="7" fillId="4" borderId="45" xfId="0" applyFont="1" applyFill="1" applyBorder="1"/>
    <xf numFmtId="42" fontId="6" fillId="4" borderId="20" xfId="3" applyNumberFormat="1" applyFont="1" applyFill="1" applyBorder="1" applyAlignment="1"/>
    <xf numFmtId="42" fontId="6" fillId="4" borderId="21" xfId="3" applyNumberFormat="1" applyFont="1" applyFill="1" applyBorder="1" applyAlignment="1"/>
    <xf numFmtId="42" fontId="6" fillId="4" borderId="22" xfId="3" applyNumberFormat="1" applyFont="1" applyFill="1" applyBorder="1" applyAlignment="1"/>
    <xf numFmtId="42" fontId="6" fillId="4" borderId="54" xfId="3" applyNumberFormat="1" applyFont="1" applyFill="1" applyBorder="1" applyAlignment="1"/>
    <xf numFmtId="42" fontId="6" fillId="5" borderId="19" xfId="3" applyNumberFormat="1" applyFont="1" applyFill="1" applyBorder="1" applyAlignment="1"/>
    <xf numFmtId="0" fontId="7" fillId="4" borderId="49" xfId="0" applyFont="1" applyFill="1" applyBorder="1"/>
    <xf numFmtId="170" fontId="6" fillId="4" borderId="28" xfId="2" applyNumberFormat="1" applyFont="1" applyFill="1" applyBorder="1" applyAlignment="1"/>
    <xf numFmtId="170" fontId="6" fillId="4" borderId="29" xfId="2" applyNumberFormat="1" applyFont="1" applyFill="1" applyBorder="1" applyAlignment="1"/>
    <xf numFmtId="170" fontId="6" fillId="4" borderId="30" xfId="2" applyNumberFormat="1" applyFont="1" applyFill="1" applyBorder="1" applyAlignment="1"/>
    <xf numFmtId="170" fontId="6" fillId="4" borderId="56" xfId="2" applyNumberFormat="1" applyFont="1" applyFill="1" applyBorder="1" applyAlignment="1"/>
    <xf numFmtId="170" fontId="6" fillId="5" borderId="27" xfId="2" applyNumberFormat="1" applyFont="1" applyFill="1" applyBorder="1" applyAlignment="1"/>
    <xf numFmtId="170" fontId="6" fillId="4" borderId="20" xfId="2" applyNumberFormat="1" applyFont="1" applyFill="1" applyBorder="1" applyAlignment="1"/>
    <xf numFmtId="170" fontId="6" fillId="4" borderId="21" xfId="2" applyNumberFormat="1" applyFont="1" applyFill="1" applyBorder="1" applyAlignment="1"/>
    <xf numFmtId="170" fontId="6" fillId="4" borderId="22" xfId="2" applyNumberFormat="1" applyFont="1" applyFill="1" applyBorder="1" applyAlignment="1"/>
    <xf numFmtId="170" fontId="6" fillId="4" borderId="54" xfId="2" applyNumberFormat="1" applyFont="1" applyFill="1" applyBorder="1" applyAlignment="1"/>
    <xf numFmtId="170" fontId="6" fillId="5" borderId="19" xfId="2" applyNumberFormat="1" applyFont="1" applyFill="1" applyBorder="1" applyAlignment="1"/>
    <xf numFmtId="42" fontId="6" fillId="4" borderId="24" xfId="3" applyNumberFormat="1" applyFont="1" applyFill="1" applyBorder="1" applyAlignment="1"/>
    <xf numFmtId="42" fontId="6" fillId="4" borderId="25" xfId="3" applyNumberFormat="1" applyFont="1" applyFill="1" applyBorder="1" applyAlignment="1"/>
    <xf numFmtId="42" fontId="6" fillId="4" borderId="26" xfId="3" applyNumberFormat="1" applyFont="1" applyFill="1" applyBorder="1" applyAlignment="1"/>
    <xf numFmtId="42" fontId="6" fillId="4" borderId="55" xfId="3" applyNumberFormat="1" applyFont="1" applyFill="1" applyBorder="1" applyAlignment="1"/>
    <xf numFmtId="42" fontId="6" fillId="5" borderId="23" xfId="3" applyNumberFormat="1" applyFont="1" applyFill="1" applyBorder="1" applyAlignment="1"/>
    <xf numFmtId="42" fontId="6" fillId="4" borderId="28" xfId="3" applyNumberFormat="1" applyFont="1" applyFill="1" applyBorder="1" applyAlignment="1"/>
    <xf numFmtId="42" fontId="6" fillId="4" borderId="29" xfId="3" applyNumberFormat="1" applyFont="1" applyFill="1" applyBorder="1" applyAlignment="1"/>
    <xf numFmtId="42" fontId="6" fillId="4" borderId="30" xfId="3" applyNumberFormat="1" applyFont="1" applyFill="1" applyBorder="1" applyAlignment="1"/>
    <xf numFmtId="42" fontId="6" fillId="4" borderId="56" xfId="3" applyNumberFormat="1" applyFont="1" applyFill="1" applyBorder="1" applyAlignment="1"/>
    <xf numFmtId="42" fontId="6" fillId="5" borderId="27" xfId="3" applyNumberFormat="1" applyFont="1" applyFill="1" applyBorder="1" applyAlignment="1"/>
    <xf numFmtId="0" fontId="7" fillId="4" borderId="52" xfId="0" applyFont="1" applyFill="1" applyBorder="1"/>
    <xf numFmtId="9" fontId="31" fillId="8" borderId="24" xfId="2" applyFont="1" applyFill="1" applyBorder="1" applyAlignment="1">
      <alignment horizontal="center"/>
    </xf>
    <xf numFmtId="0" fontId="7" fillId="4" borderId="26" xfId="0" applyFont="1" applyFill="1" applyBorder="1" applyAlignment="1">
      <alignment horizontal="left"/>
    </xf>
    <xf numFmtId="40" fontId="31" fillId="8" borderId="28" xfId="3" applyNumberFormat="1" applyFont="1" applyFill="1" applyBorder="1" applyAlignment="1">
      <alignment horizontal="center"/>
    </xf>
    <xf numFmtId="0" fontId="7" fillId="4" borderId="30" xfId="0" applyFont="1" applyFill="1" applyBorder="1" applyAlignment="1">
      <alignment horizontal="left"/>
    </xf>
    <xf numFmtId="0" fontId="6" fillId="4" borderId="47" xfId="0" applyFont="1" applyFill="1" applyBorder="1"/>
    <xf numFmtId="0" fontId="6" fillId="4" borderId="62" xfId="0" applyFont="1" applyFill="1" applyBorder="1"/>
    <xf numFmtId="0" fontId="22" fillId="4" borderId="63" xfId="0" applyFont="1" applyFill="1" applyBorder="1"/>
    <xf numFmtId="0" fontId="6" fillId="4" borderId="22" xfId="0" applyFont="1" applyFill="1" applyBorder="1"/>
    <xf numFmtId="10" fontId="31" fillId="8" borderId="64" xfId="2" applyNumberFormat="1" applyFont="1" applyFill="1" applyBorder="1" applyAlignment="1">
      <alignment horizontal="center"/>
    </xf>
    <xf numFmtId="0" fontId="7" fillId="4" borderId="65" xfId="0" applyFont="1" applyFill="1" applyBorder="1"/>
    <xf numFmtId="42" fontId="6" fillId="4" borderId="64" xfId="3" applyNumberFormat="1" applyFont="1" applyFill="1" applyBorder="1" applyAlignment="1"/>
    <xf numFmtId="42" fontId="6" fillId="4" borderId="66" xfId="3" applyNumberFormat="1" applyFont="1" applyFill="1" applyBorder="1" applyAlignment="1"/>
    <xf numFmtId="42" fontId="6" fillId="4" borderId="65" xfId="3" applyNumberFormat="1" applyFont="1" applyFill="1" applyBorder="1" applyAlignment="1"/>
    <xf numFmtId="42" fontId="6" fillId="4" borderId="67" xfId="3" applyNumberFormat="1" applyFont="1" applyFill="1" applyBorder="1" applyAlignment="1"/>
    <xf numFmtId="42" fontId="6" fillId="5" borderId="51" xfId="3" applyNumberFormat="1" applyFont="1" applyFill="1" applyBorder="1" applyAlignment="1"/>
    <xf numFmtId="37" fontId="31" fillId="8" borderId="16" xfId="0" applyNumberFormat="1" applyFont="1" applyFill="1" applyBorder="1" applyAlignment="1">
      <alignment horizontal="center"/>
    </xf>
    <xf numFmtId="42" fontId="6" fillId="4" borderId="68" xfId="3" applyNumberFormat="1" applyFont="1" applyFill="1" applyBorder="1" applyAlignment="1"/>
    <xf numFmtId="42" fontId="6" fillId="4" borderId="69" xfId="3" applyNumberFormat="1" applyFont="1" applyFill="1" applyBorder="1" applyAlignment="1"/>
    <xf numFmtId="42" fontId="6" fillId="4" borderId="70" xfId="3" applyNumberFormat="1" applyFont="1" applyFill="1" applyBorder="1" applyAlignment="1"/>
    <xf numFmtId="42" fontId="6" fillId="4" borderId="71" xfId="3" applyNumberFormat="1" applyFont="1" applyFill="1" applyBorder="1" applyAlignment="1"/>
    <xf numFmtId="42" fontId="6" fillId="5" borderId="72" xfId="3" applyNumberFormat="1" applyFont="1" applyFill="1" applyBorder="1" applyAlignment="1"/>
    <xf numFmtId="42" fontId="6" fillId="0" borderId="16" xfId="3" applyNumberFormat="1" applyFont="1" applyFill="1" applyBorder="1" applyAlignment="1"/>
    <xf numFmtId="42" fontId="6" fillId="0" borderId="17" xfId="3" applyNumberFormat="1" applyFont="1" applyFill="1" applyBorder="1" applyAlignment="1"/>
    <xf numFmtId="42" fontId="6" fillId="0" borderId="18" xfId="3" applyNumberFormat="1" applyFont="1" applyFill="1" applyBorder="1" applyAlignment="1"/>
    <xf numFmtId="42" fontId="6" fillId="0" borderId="33" xfId="3" applyNumberFormat="1" applyFont="1" applyFill="1" applyBorder="1" applyAlignment="1"/>
    <xf numFmtId="0" fontId="6" fillId="4" borderId="45" xfId="0" applyFont="1" applyFill="1" applyBorder="1"/>
    <xf numFmtId="164" fontId="6" fillId="0" borderId="20" xfId="3" applyNumberFormat="1" applyFont="1" applyFill="1" applyBorder="1" applyAlignment="1"/>
    <xf numFmtId="164" fontId="6" fillId="0" borderId="21" xfId="3" applyNumberFormat="1" applyFont="1" applyFill="1" applyBorder="1" applyAlignment="1"/>
    <xf numFmtId="164" fontId="6" fillId="0" borderId="22" xfId="3" applyNumberFormat="1" applyFont="1" applyFill="1" applyBorder="1" applyAlignment="1"/>
    <xf numFmtId="164" fontId="6" fillId="0" borderId="54" xfId="3" applyNumberFormat="1" applyFont="1" applyFill="1" applyBorder="1" applyAlignment="1"/>
    <xf numFmtId="164" fontId="6" fillId="0" borderId="19" xfId="3" applyNumberFormat="1" applyFont="1" applyFill="1" applyBorder="1" applyAlignment="1"/>
    <xf numFmtId="0" fontId="7" fillId="3" borderId="1" xfId="0" applyFont="1" applyFill="1" applyBorder="1"/>
    <xf numFmtId="42" fontId="6" fillId="3" borderId="16" xfId="3" applyNumberFormat="1" applyFont="1" applyFill="1" applyBorder="1" applyAlignment="1"/>
    <xf numFmtId="42" fontId="6" fillId="3" borderId="17" xfId="3" applyNumberFormat="1" applyFont="1" applyFill="1" applyBorder="1" applyAlignment="1"/>
    <xf numFmtId="42" fontId="6" fillId="3" borderId="18" xfId="3" applyNumberFormat="1" applyFont="1" applyFill="1" applyBorder="1" applyAlignment="1"/>
    <xf numFmtId="42" fontId="6" fillId="3" borderId="33" xfId="3" applyNumberFormat="1" applyFont="1" applyFill="1" applyBorder="1" applyAlignment="1"/>
    <xf numFmtId="0" fontId="6" fillId="3" borderId="18" xfId="0" applyFont="1" applyFill="1" applyBorder="1"/>
    <xf numFmtId="0" fontId="6" fillId="3" borderId="1" xfId="0" applyFont="1" applyFill="1" applyBorder="1"/>
    <xf numFmtId="42" fontId="6" fillId="3" borderId="31" xfId="3" applyNumberFormat="1" applyFont="1" applyFill="1" applyBorder="1" applyAlignment="1"/>
    <xf numFmtId="0" fontId="6" fillId="3" borderId="4" xfId="0" applyFont="1" applyFill="1" applyBorder="1"/>
    <xf numFmtId="0" fontId="22" fillId="3" borderId="5" xfId="0" applyFont="1" applyFill="1" applyBorder="1"/>
    <xf numFmtId="42" fontId="6" fillId="3" borderId="40" xfId="3" applyNumberFormat="1" applyFont="1" applyFill="1" applyBorder="1" applyAlignment="1"/>
    <xf numFmtId="42" fontId="6" fillId="3" borderId="34" xfId="3" applyNumberFormat="1" applyFont="1" applyFill="1" applyBorder="1" applyAlignment="1"/>
    <xf numFmtId="42" fontId="6" fillId="3" borderId="38" xfId="3" applyNumberFormat="1" applyFont="1" applyFill="1" applyBorder="1" applyAlignment="1"/>
    <xf numFmtId="42" fontId="6" fillId="3" borderId="37" xfId="3" applyNumberFormat="1" applyFont="1" applyFill="1" applyBorder="1" applyAlignment="1"/>
    <xf numFmtId="42" fontId="6" fillId="3" borderId="43" xfId="3" applyNumberFormat="1" applyFont="1" applyFill="1" applyBorder="1" applyAlignment="1"/>
    <xf numFmtId="0" fontId="6" fillId="4" borderId="49" xfId="0" applyFont="1" applyFill="1" applyBorder="1" applyAlignment="1">
      <alignment horizontal="left"/>
    </xf>
    <xf numFmtId="42" fontId="6" fillId="4" borderId="28" xfId="0" applyNumberFormat="1" applyFont="1" applyFill="1" applyBorder="1"/>
    <xf numFmtId="42" fontId="6" fillId="4" borderId="29" xfId="0" applyNumberFormat="1" applyFont="1" applyFill="1" applyBorder="1"/>
    <xf numFmtId="42" fontId="6" fillId="4" borderId="30" xfId="0" applyNumberFormat="1" applyFont="1" applyFill="1" applyBorder="1"/>
    <xf numFmtId="42" fontId="6" fillId="4" borderId="56" xfId="0" applyNumberFormat="1" applyFont="1" applyFill="1" applyBorder="1"/>
    <xf numFmtId="42" fontId="6" fillId="5" borderId="27" xfId="0" applyNumberFormat="1" applyFont="1" applyFill="1" applyBorder="1"/>
    <xf numFmtId="0" fontId="6" fillId="3" borderId="10" xfId="0" applyFont="1" applyFill="1" applyBorder="1"/>
    <xf numFmtId="42" fontId="6" fillId="3" borderId="41" xfId="3" applyNumberFormat="1" applyFont="1" applyFill="1" applyBorder="1" applyAlignment="1"/>
    <xf numFmtId="42" fontId="6" fillId="3" borderId="32" xfId="3" applyNumberFormat="1" applyFont="1" applyFill="1" applyBorder="1" applyAlignment="1"/>
    <xf numFmtId="42" fontId="6" fillId="3" borderId="42" xfId="3" applyNumberFormat="1" applyFont="1" applyFill="1" applyBorder="1" applyAlignment="1"/>
    <xf numFmtId="42" fontId="6" fillId="3" borderId="44" xfId="3" applyNumberFormat="1" applyFont="1" applyFill="1" applyBorder="1" applyAlignment="1"/>
    <xf numFmtId="0" fontId="6" fillId="4" borderId="47" xfId="0" applyFont="1" applyFill="1" applyBorder="1" applyAlignment="1">
      <alignment horizontal="left" indent="1"/>
    </xf>
    <xf numFmtId="10" fontId="6" fillId="0" borderId="24" xfId="2" applyNumberFormat="1" applyFont="1" applyFill="1" applyBorder="1" applyAlignment="1"/>
    <xf numFmtId="10" fontId="6" fillId="0" borderId="25" xfId="2" applyNumberFormat="1" applyFont="1" applyFill="1" applyBorder="1" applyAlignment="1"/>
    <xf numFmtId="10" fontId="6" fillId="0" borderId="26" xfId="2" applyNumberFormat="1" applyFont="1" applyFill="1" applyBorder="1" applyAlignment="1"/>
    <xf numFmtId="10" fontId="6" fillId="0" borderId="55" xfId="2" applyNumberFormat="1" applyFont="1" applyFill="1" applyBorder="1" applyAlignment="1"/>
    <xf numFmtId="10" fontId="6" fillId="3" borderId="23" xfId="2" applyNumberFormat="1" applyFont="1" applyFill="1" applyBorder="1" applyAlignment="1"/>
    <xf numFmtId="0" fontId="23" fillId="3" borderId="6" xfId="0" applyFont="1" applyFill="1" applyBorder="1"/>
    <xf numFmtId="0" fontId="23" fillId="3" borderId="8" xfId="0" applyFont="1" applyFill="1" applyBorder="1"/>
    <xf numFmtId="0" fontId="23" fillId="3" borderId="11" xfId="0" applyFont="1" applyFill="1" applyBorder="1"/>
    <xf numFmtId="0" fontId="23" fillId="4" borderId="46" xfId="0" applyFont="1" applyFill="1" applyBorder="1"/>
    <xf numFmtId="0" fontId="23" fillId="4" borderId="50" xfId="0" applyFont="1" applyFill="1" applyBorder="1"/>
    <xf numFmtId="0" fontId="7" fillId="3" borderId="10" xfId="0" applyFont="1" applyFill="1" applyBorder="1"/>
    <xf numFmtId="42" fontId="6" fillId="4" borderId="73" xfId="3" applyNumberFormat="1" applyFont="1" applyFill="1" applyBorder="1" applyAlignment="1"/>
    <xf numFmtId="0" fontId="22" fillId="4" borderId="58" xfId="0" applyFont="1" applyFill="1" applyBorder="1"/>
    <xf numFmtId="10" fontId="31" fillId="8" borderId="20" xfId="2" applyNumberFormat="1" applyFont="1" applyFill="1" applyBorder="1" applyAlignment="1">
      <alignment horizontal="center"/>
    </xf>
    <xf numFmtId="3" fontId="26" fillId="0" borderId="0" xfId="0" applyNumberFormat="1" applyFont="1" applyAlignment="1">
      <alignment horizontal="center"/>
    </xf>
    <xf numFmtId="42" fontId="22" fillId="4" borderId="41" xfId="3" applyNumberFormat="1" applyFont="1" applyFill="1" applyBorder="1"/>
    <xf numFmtId="42" fontId="22" fillId="4" borderId="32" xfId="3" applyNumberFormat="1" applyFont="1" applyFill="1" applyBorder="1"/>
    <xf numFmtId="42" fontId="22" fillId="4" borderId="42" xfId="3" applyNumberFormat="1" applyFont="1" applyFill="1" applyBorder="1"/>
    <xf numFmtId="0" fontId="22" fillId="0" borderId="0" xfId="0" applyFont="1" applyAlignment="1">
      <alignment horizontal="left"/>
    </xf>
    <xf numFmtId="39" fontId="31" fillId="8" borderId="29" xfId="1" quotePrefix="1" applyNumberFormat="1" applyFont="1" applyFill="1" applyBorder="1" applyAlignment="1">
      <alignment horizontal="center"/>
    </xf>
    <xf numFmtId="0" fontId="22" fillId="4" borderId="74" xfId="0" applyFont="1" applyFill="1" applyBorder="1"/>
    <xf numFmtId="0" fontId="5" fillId="4" borderId="49" xfId="0" applyFont="1" applyFill="1" applyBorder="1"/>
    <xf numFmtId="42" fontId="6" fillId="4" borderId="75" xfId="3" applyNumberFormat="1" applyFont="1" applyFill="1" applyBorder="1" applyAlignment="1"/>
    <xf numFmtId="42" fontId="6" fillId="4" borderId="76" xfId="3" applyNumberFormat="1" applyFont="1" applyFill="1" applyBorder="1" applyAlignment="1"/>
    <xf numFmtId="42" fontId="6" fillId="4" borderId="57" xfId="3" applyNumberFormat="1" applyFont="1" applyFill="1" applyBorder="1" applyAlignment="1"/>
    <xf numFmtId="42" fontId="25" fillId="4" borderId="66" xfId="3" applyNumberFormat="1" applyFont="1" applyFill="1" applyBorder="1" applyAlignment="1"/>
    <xf numFmtId="42" fontId="25" fillId="4" borderId="65" xfId="3" applyNumberFormat="1" applyFont="1" applyFill="1" applyBorder="1" applyAlignment="1"/>
    <xf numFmtId="42" fontId="25" fillId="4" borderId="67" xfId="3" applyNumberFormat="1" applyFont="1" applyFill="1" applyBorder="1" applyAlignment="1"/>
    <xf numFmtId="3" fontId="4" fillId="4" borderId="47" xfId="0" applyNumberFormat="1" applyFont="1" applyFill="1" applyBorder="1"/>
    <xf numFmtId="3" fontId="4" fillId="4" borderId="45" xfId="0" applyNumberFormat="1" applyFont="1" applyFill="1" applyBorder="1"/>
    <xf numFmtId="3" fontId="22" fillId="4" borderId="52" xfId="0" applyNumberFormat="1" applyFont="1" applyFill="1" applyBorder="1"/>
    <xf numFmtId="164" fontId="22" fillId="4" borderId="52" xfId="3" applyNumberFormat="1" applyFont="1" applyFill="1" applyBorder="1" applyAlignment="1"/>
    <xf numFmtId="164" fontId="22" fillId="12" borderId="19" xfId="3" applyNumberFormat="1" applyFont="1" applyFill="1" applyBorder="1" applyAlignment="1"/>
    <xf numFmtId="10" fontId="31" fillId="8" borderId="21" xfId="2" applyNumberFormat="1" applyFont="1" applyFill="1" applyBorder="1" applyAlignment="1"/>
    <xf numFmtId="10" fontId="31" fillId="8" borderId="22" xfId="2" applyNumberFormat="1" applyFont="1" applyFill="1" applyBorder="1" applyAlignment="1"/>
    <xf numFmtId="3" fontId="22" fillId="4" borderId="58" xfId="0" applyNumberFormat="1" applyFont="1" applyFill="1" applyBorder="1"/>
    <xf numFmtId="164" fontId="22" fillId="12" borderId="23" xfId="3" applyNumberFormat="1" applyFont="1" applyFill="1" applyBorder="1" applyAlignment="1"/>
    <xf numFmtId="10" fontId="31" fillId="8" borderId="25" xfId="2" applyNumberFormat="1" applyFont="1" applyFill="1" applyBorder="1" applyAlignment="1"/>
    <xf numFmtId="10" fontId="31" fillId="8" borderId="26" xfId="2" applyNumberFormat="1" applyFont="1" applyFill="1" applyBorder="1" applyAlignment="1"/>
    <xf numFmtId="3" fontId="4" fillId="4" borderId="47" xfId="0" applyNumberFormat="1" applyFont="1" applyFill="1" applyBorder="1" applyAlignment="1">
      <alignment horizontal="left" indent="1"/>
    </xf>
    <xf numFmtId="42" fontId="22" fillId="4" borderId="55" xfId="3" applyNumberFormat="1" applyFont="1" applyFill="1" applyBorder="1" applyAlignment="1"/>
    <xf numFmtId="42" fontId="22" fillId="3" borderId="33" xfId="3" applyNumberFormat="1" applyFont="1" applyFill="1" applyBorder="1" applyAlignment="1"/>
    <xf numFmtId="42" fontId="25" fillId="4" borderId="54" xfId="3" applyNumberFormat="1" applyFont="1" applyFill="1" applyBorder="1" applyAlignment="1"/>
    <xf numFmtId="42" fontId="22" fillId="4" borderId="19" xfId="3" applyNumberFormat="1" applyFont="1" applyFill="1" applyBorder="1" applyAlignment="1"/>
    <xf numFmtId="42" fontId="25" fillId="5" borderId="14" xfId="3" applyNumberFormat="1" applyFont="1" applyFill="1" applyBorder="1" applyAlignment="1"/>
    <xf numFmtId="10" fontId="31" fillId="8" borderId="29" xfId="2" applyNumberFormat="1" applyFont="1" applyFill="1" applyBorder="1" applyAlignment="1">
      <alignment horizontal="center"/>
    </xf>
    <xf numFmtId="3" fontId="4" fillId="4" borderId="62" xfId="0" applyNumberFormat="1" applyFont="1" applyFill="1" applyBorder="1" applyAlignment="1">
      <alignment horizontal="left" indent="1"/>
    </xf>
    <xf numFmtId="164" fontId="22" fillId="4" borderId="74" xfId="3" applyNumberFormat="1" applyFont="1" applyFill="1" applyBorder="1" applyAlignment="1"/>
    <xf numFmtId="42" fontId="25" fillId="4" borderId="72" xfId="3" applyNumberFormat="1" applyFont="1" applyFill="1" applyBorder="1" applyAlignment="1"/>
    <xf numFmtId="42" fontId="25" fillId="4" borderId="71" xfId="3" applyNumberFormat="1" applyFont="1" applyFill="1" applyBorder="1" applyAlignment="1"/>
    <xf numFmtId="42" fontId="25" fillId="4" borderId="69" xfId="3" applyNumberFormat="1" applyFont="1" applyFill="1" applyBorder="1" applyAlignment="1"/>
    <xf numFmtId="42" fontId="25" fillId="4" borderId="70" xfId="3" applyNumberFormat="1" applyFont="1" applyFill="1" applyBorder="1" applyAlignment="1"/>
    <xf numFmtId="3" fontId="4" fillId="4" borderId="59" xfId="0" applyNumberFormat="1" applyFont="1" applyFill="1" applyBorder="1" applyAlignment="1">
      <alignment horizontal="left" indent="1"/>
    </xf>
    <xf numFmtId="10" fontId="31" fillId="8" borderId="67" xfId="2" applyNumberFormat="1" applyFont="1" applyFill="1" applyBorder="1" applyAlignment="1">
      <alignment horizontal="right"/>
    </xf>
    <xf numFmtId="10" fontId="31" fillId="8" borderId="66" xfId="2" applyNumberFormat="1" applyFont="1" applyFill="1" applyBorder="1" applyAlignment="1">
      <alignment horizontal="right"/>
    </xf>
    <xf numFmtId="10" fontId="25" fillId="4" borderId="66" xfId="2" applyNumberFormat="1" applyFont="1" applyFill="1" applyBorder="1" applyAlignment="1"/>
    <xf numFmtId="10" fontId="25" fillId="4" borderId="65" xfId="2" applyNumberFormat="1" applyFont="1" applyFill="1" applyBorder="1" applyAlignment="1"/>
    <xf numFmtId="3" fontId="4" fillId="3" borderId="1" xfId="0" applyNumberFormat="1" applyFont="1" applyFill="1" applyBorder="1"/>
    <xf numFmtId="42" fontId="25" fillId="3" borderId="33" xfId="3" applyNumberFormat="1" applyFont="1" applyFill="1" applyBorder="1" applyAlignment="1"/>
    <xf numFmtId="42" fontId="25" fillId="3" borderId="17" xfId="3" applyNumberFormat="1" applyFont="1" applyFill="1" applyBorder="1" applyAlignment="1"/>
    <xf numFmtId="42" fontId="25" fillId="3" borderId="18" xfId="3" applyNumberFormat="1" applyFont="1" applyFill="1" applyBorder="1" applyAlignment="1"/>
    <xf numFmtId="42" fontId="22" fillId="4" borderId="13" xfId="3" applyNumberFormat="1" applyFont="1" applyFill="1" applyBorder="1" applyAlignment="1"/>
    <xf numFmtId="3" fontId="4" fillId="3" borderId="12" xfId="0" applyNumberFormat="1" applyFont="1" applyFill="1" applyBorder="1"/>
    <xf numFmtId="3" fontId="6" fillId="5" borderId="10" xfId="0" applyNumberFormat="1" applyFont="1" applyFill="1" applyBorder="1"/>
    <xf numFmtId="3" fontId="22" fillId="5" borderId="9" xfId="0" applyNumberFormat="1" applyFont="1" applyFill="1" applyBorder="1"/>
    <xf numFmtId="0" fontId="22" fillId="5" borderId="11" xfId="0" applyFont="1" applyFill="1" applyBorder="1"/>
    <xf numFmtId="3" fontId="7" fillId="3" borderId="2" xfId="0" applyNumberFormat="1" applyFont="1" applyFill="1" applyBorder="1"/>
    <xf numFmtId="3" fontId="4" fillId="4" borderId="22" xfId="0" applyNumberFormat="1" applyFont="1" applyFill="1" applyBorder="1"/>
    <xf numFmtId="3" fontId="4" fillId="4" borderId="30" xfId="0" applyNumberFormat="1" applyFont="1" applyFill="1" applyBorder="1"/>
    <xf numFmtId="0" fontId="22" fillId="4" borderId="54" xfId="0" applyFont="1" applyFill="1" applyBorder="1"/>
    <xf numFmtId="0" fontId="22" fillId="4" borderId="56" xfId="0" applyFont="1" applyFill="1" applyBorder="1"/>
    <xf numFmtId="10" fontId="31" fillId="8" borderId="73" xfId="2" applyNumberFormat="1" applyFont="1" applyFill="1" applyBorder="1" applyAlignment="1">
      <alignment horizontal="center"/>
    </xf>
    <xf numFmtId="10" fontId="31" fillId="8" borderId="57" xfId="2" applyNumberFormat="1" applyFont="1" applyFill="1" applyBorder="1" applyAlignment="1">
      <alignment horizontal="center"/>
    </xf>
    <xf numFmtId="3" fontId="7" fillId="4" borderId="22" xfId="0" applyNumberFormat="1" applyFont="1" applyFill="1" applyBorder="1"/>
    <xf numFmtId="42" fontId="22" fillId="4" borderId="34" xfId="3" applyNumberFormat="1" applyFont="1" applyFill="1" applyBorder="1" applyAlignment="1"/>
    <xf numFmtId="42" fontId="22" fillId="4" borderId="38" xfId="3" applyNumberFormat="1" applyFont="1" applyFill="1" applyBorder="1" applyAlignment="1"/>
    <xf numFmtId="42" fontId="22" fillId="4" borderId="37" xfId="3" applyNumberFormat="1" applyFont="1" applyFill="1" applyBorder="1" applyAlignment="1"/>
    <xf numFmtId="3" fontId="4" fillId="4" borderId="49" xfId="0" applyNumberFormat="1" applyFont="1" applyFill="1" applyBorder="1" applyAlignment="1">
      <alignment horizontal="left" indent="1"/>
    </xf>
    <xf numFmtId="3" fontId="4" fillId="4" borderId="23" xfId="0" applyNumberFormat="1" applyFont="1" applyFill="1" applyBorder="1"/>
    <xf numFmtId="0" fontId="4" fillId="0" borderId="0" xfId="0" applyFont="1" applyAlignment="1">
      <alignment horizontal="left" indent="1"/>
    </xf>
    <xf numFmtId="0" fontId="16" fillId="7" borderId="41" xfId="0" applyFont="1" applyFill="1" applyBorder="1" applyAlignment="1">
      <alignment horizontal="center" wrapText="1"/>
    </xf>
    <xf numFmtId="3" fontId="3" fillId="4" borderId="23" xfId="0" applyNumberFormat="1" applyFont="1" applyFill="1" applyBorder="1"/>
    <xf numFmtId="42" fontId="25" fillId="4" borderId="23" xfId="0" applyNumberFormat="1" applyFont="1" applyFill="1" applyBorder="1" applyAlignment="1">
      <alignment horizontal="center"/>
    </xf>
    <xf numFmtId="0" fontId="3" fillId="0" borderId="0" xfId="0" applyFont="1"/>
    <xf numFmtId="5" fontId="47" fillId="8" borderId="20" xfId="3" applyNumberFormat="1" applyFont="1" applyFill="1" applyBorder="1" applyAlignment="1">
      <alignment horizontal="center"/>
    </xf>
    <xf numFmtId="5" fontId="47" fillId="8" borderId="21" xfId="0" applyNumberFormat="1" applyFont="1" applyFill="1" applyBorder="1" applyAlignment="1">
      <alignment horizontal="center"/>
    </xf>
    <xf numFmtId="5" fontId="47" fillId="8" borderId="21" xfId="3" applyNumberFormat="1" applyFont="1" applyFill="1" applyBorder="1" applyAlignment="1">
      <alignment horizontal="center"/>
    </xf>
    <xf numFmtId="5" fontId="47" fillId="8" borderId="22" xfId="0" applyNumberFormat="1" applyFont="1" applyFill="1" applyBorder="1" applyAlignment="1">
      <alignment horizontal="center"/>
    </xf>
    <xf numFmtId="5" fontId="47" fillId="8" borderId="24" xfId="3" applyNumberFormat="1" applyFont="1" applyFill="1" applyBorder="1" applyAlignment="1">
      <alignment horizontal="center"/>
    </xf>
    <xf numFmtId="5" fontId="47" fillId="8" borderId="25" xfId="0" applyNumberFormat="1" applyFont="1" applyFill="1" applyBorder="1" applyAlignment="1">
      <alignment horizontal="center"/>
    </xf>
    <xf numFmtId="5" fontId="47" fillId="8" borderId="25" xfId="3" applyNumberFormat="1" applyFont="1" applyFill="1" applyBorder="1" applyAlignment="1">
      <alignment horizontal="center"/>
    </xf>
    <xf numFmtId="5" fontId="47" fillId="8" borderId="26" xfId="0" applyNumberFormat="1" applyFont="1" applyFill="1" applyBorder="1" applyAlignment="1">
      <alignment horizontal="center"/>
    </xf>
    <xf numFmtId="5" fontId="47" fillId="8" borderId="28" xfId="0" applyNumberFormat="1" applyFont="1" applyFill="1" applyBorder="1" applyAlignment="1">
      <alignment horizontal="center"/>
    </xf>
    <xf numFmtId="5" fontId="47" fillId="8" borderId="29" xfId="0" applyNumberFormat="1" applyFont="1" applyFill="1" applyBorder="1" applyAlignment="1">
      <alignment horizontal="center"/>
    </xf>
    <xf numFmtId="5" fontId="47" fillId="8" borderId="30" xfId="0" applyNumberFormat="1" applyFont="1" applyFill="1" applyBorder="1" applyAlignment="1">
      <alignment horizontal="center"/>
    </xf>
    <xf numFmtId="37" fontId="47" fillId="8" borderId="21" xfId="3" applyNumberFormat="1" applyFont="1" applyFill="1" applyBorder="1" applyAlignment="1">
      <alignment horizontal="center"/>
    </xf>
    <xf numFmtId="37" fontId="47" fillId="8" borderId="25" xfId="3" applyNumberFormat="1" applyFont="1" applyFill="1" applyBorder="1" applyAlignment="1">
      <alignment horizontal="center"/>
    </xf>
    <xf numFmtId="37" fontId="47" fillId="8" borderId="29" xfId="0" applyNumberFormat="1" applyFont="1" applyFill="1" applyBorder="1" applyAlignment="1">
      <alignment horizontal="center"/>
    </xf>
    <xf numFmtId="37" fontId="47" fillId="8" borderId="16" xfId="3" applyNumberFormat="1" applyFont="1" applyFill="1" applyBorder="1" applyAlignment="1">
      <alignment horizontal="center"/>
    </xf>
    <xf numFmtId="5" fontId="47" fillId="8" borderId="18" xfId="0" applyNumberFormat="1" applyFont="1" applyFill="1" applyBorder="1" applyAlignment="1">
      <alignment horizontal="center"/>
    </xf>
    <xf numFmtId="0" fontId="3" fillId="0" borderId="0" xfId="0" applyFont="1" applyAlignment="1">
      <alignment horizontal="left" indent="1"/>
    </xf>
    <xf numFmtId="5" fontId="12" fillId="4" borderId="19" xfId="3" applyNumberFormat="1" applyFont="1" applyFill="1" applyBorder="1" applyAlignment="1">
      <alignment horizontal="center"/>
    </xf>
    <xf numFmtId="5" fontId="12" fillId="4" borderId="23" xfId="3" applyNumberFormat="1" applyFont="1" applyFill="1" applyBorder="1" applyAlignment="1">
      <alignment horizontal="center"/>
    </xf>
    <xf numFmtId="5" fontId="12" fillId="4" borderId="27" xfId="3" applyNumberFormat="1" applyFont="1" applyFill="1" applyBorder="1" applyAlignment="1">
      <alignment horizontal="center"/>
    </xf>
    <xf numFmtId="0" fontId="16" fillId="7" borderId="11" xfId="0" applyFont="1" applyFill="1" applyBorder="1" applyAlignment="1">
      <alignment horizontal="center" wrapText="1"/>
    </xf>
    <xf numFmtId="5" fontId="47" fillId="8" borderId="20" xfId="0" applyNumberFormat="1" applyFont="1" applyFill="1" applyBorder="1" applyAlignment="1">
      <alignment horizontal="center"/>
    </xf>
    <xf numFmtId="5" fontId="47" fillId="8" borderId="24" xfId="0" applyNumberFormat="1" applyFont="1" applyFill="1" applyBorder="1" applyAlignment="1">
      <alignment horizontal="center"/>
    </xf>
    <xf numFmtId="5" fontId="47" fillId="8" borderId="19" xfId="0" applyNumberFormat="1" applyFont="1" applyFill="1" applyBorder="1" applyAlignment="1">
      <alignment horizontal="center"/>
    </xf>
    <xf numFmtId="5" fontId="47" fillId="8" borderId="23" xfId="0" applyNumberFormat="1" applyFont="1" applyFill="1" applyBorder="1" applyAlignment="1">
      <alignment horizontal="center"/>
    </xf>
    <xf numFmtId="5" fontId="47" fillId="8" borderId="27" xfId="0" applyNumberFormat="1" applyFont="1" applyFill="1" applyBorder="1" applyAlignment="1">
      <alignment horizontal="center"/>
    </xf>
    <xf numFmtId="5" fontId="47" fillId="8" borderId="52" xfId="0" applyNumberFormat="1" applyFont="1" applyFill="1" applyBorder="1" applyAlignment="1">
      <alignment horizontal="center"/>
    </xf>
    <xf numFmtId="5" fontId="47" fillId="8" borderId="58" xfId="0" applyNumberFormat="1" applyFont="1" applyFill="1" applyBorder="1" applyAlignment="1">
      <alignment horizontal="center"/>
    </xf>
    <xf numFmtId="5" fontId="47" fillId="8" borderId="53" xfId="0" applyNumberFormat="1" applyFont="1" applyFill="1" applyBorder="1" applyAlignment="1">
      <alignment horizontal="center"/>
    </xf>
    <xf numFmtId="0" fontId="10" fillId="3" borderId="8" xfId="0" applyFont="1" applyFill="1" applyBorder="1"/>
    <xf numFmtId="0" fontId="10" fillId="3" borderId="4" xfId="0" applyFont="1" applyFill="1" applyBorder="1"/>
    <xf numFmtId="0" fontId="10" fillId="3" borderId="0" xfId="0" applyFont="1" applyFill="1"/>
    <xf numFmtId="0" fontId="10" fillId="3" borderId="5" xfId="0" applyFont="1" applyFill="1" applyBorder="1"/>
    <xf numFmtId="0" fontId="48" fillId="8" borderId="20" xfId="0" applyFont="1" applyFill="1" applyBorder="1" applyAlignment="1">
      <alignment horizontal="center"/>
    </xf>
    <xf numFmtId="0" fontId="48" fillId="8" borderId="24" xfId="0" applyFont="1" applyFill="1" applyBorder="1" applyAlignment="1">
      <alignment horizontal="center"/>
    </xf>
    <xf numFmtId="0" fontId="48" fillId="8" borderId="28" xfId="0" applyFont="1" applyFill="1" applyBorder="1" applyAlignment="1">
      <alignment horizontal="center"/>
    </xf>
    <xf numFmtId="0" fontId="16" fillId="4" borderId="20" xfId="0" applyFont="1" applyFill="1" applyBorder="1" applyAlignment="1">
      <alignment horizontal="center"/>
    </xf>
    <xf numFmtId="172" fontId="10" fillId="4" borderId="21" xfId="0" applyNumberFormat="1" applyFont="1" applyFill="1" applyBorder="1" applyAlignment="1">
      <alignment horizontal="center"/>
    </xf>
    <xf numFmtId="0" fontId="16" fillId="4" borderId="24" xfId="0" applyFont="1" applyFill="1" applyBorder="1" applyAlignment="1">
      <alignment horizontal="center"/>
    </xf>
    <xf numFmtId="172" fontId="10" fillId="4" borderId="25" xfId="0" applyNumberFormat="1" applyFont="1" applyFill="1" applyBorder="1" applyAlignment="1">
      <alignment horizontal="center"/>
    </xf>
    <xf numFmtId="0" fontId="16" fillId="4" borderId="28" xfId="0" applyFont="1" applyFill="1" applyBorder="1" applyAlignment="1">
      <alignment horizontal="center"/>
    </xf>
    <xf numFmtId="172" fontId="10" fillId="4" borderId="29" xfId="0" applyNumberFormat="1" applyFont="1" applyFill="1" applyBorder="1" applyAlignment="1">
      <alignment horizontal="center"/>
    </xf>
    <xf numFmtId="3" fontId="23" fillId="5" borderId="1" xfId="0" applyNumberFormat="1" applyFont="1" applyFill="1" applyBorder="1"/>
    <xf numFmtId="0" fontId="26" fillId="5" borderId="1" xfId="0" applyFont="1" applyFill="1" applyBorder="1"/>
    <xf numFmtId="42" fontId="26" fillId="5" borderId="16" xfId="0" applyNumberFormat="1" applyFont="1" applyFill="1" applyBorder="1"/>
    <xf numFmtId="42" fontId="26" fillId="5" borderId="17" xfId="0" applyNumberFormat="1" applyFont="1" applyFill="1" applyBorder="1"/>
    <xf numFmtId="42" fontId="26" fillId="5" borderId="18" xfId="0" applyNumberFormat="1" applyFont="1" applyFill="1" applyBorder="1"/>
    <xf numFmtId="42" fontId="26" fillId="5" borderId="16" xfId="3" applyNumberFormat="1" applyFont="1" applyFill="1" applyBorder="1" applyAlignment="1"/>
    <xf numFmtId="42" fontId="26" fillId="5" borderId="17" xfId="3" applyNumberFormat="1" applyFont="1" applyFill="1" applyBorder="1" applyAlignment="1"/>
    <xf numFmtId="42" fontId="26" fillId="5" borderId="18" xfId="3" applyNumberFormat="1" applyFont="1" applyFill="1" applyBorder="1" applyAlignment="1"/>
    <xf numFmtId="10" fontId="26" fillId="5" borderId="2" xfId="0" applyNumberFormat="1" applyFont="1" applyFill="1" applyBorder="1" applyAlignment="1">
      <alignment horizontal="center" vertical="center"/>
    </xf>
    <xf numFmtId="10" fontId="26" fillId="5" borderId="1" xfId="2" applyNumberFormat="1" applyFont="1" applyFill="1" applyBorder="1"/>
    <xf numFmtId="10" fontId="26" fillId="5" borderId="2" xfId="2" applyNumberFormat="1" applyFont="1" applyFill="1" applyBorder="1"/>
    <xf numFmtId="170" fontId="26" fillId="5" borderId="28" xfId="1" applyNumberFormat="1" applyFont="1" applyFill="1" applyBorder="1" applyAlignment="1"/>
    <xf numFmtId="170" fontId="26" fillId="5" borderId="29" xfId="1" applyNumberFormat="1" applyFont="1" applyFill="1" applyBorder="1" applyAlignment="1"/>
    <xf numFmtId="170" fontId="26" fillId="5" borderId="57" xfId="1" applyNumberFormat="1" applyFont="1" applyFill="1" applyBorder="1" applyAlignment="1"/>
    <xf numFmtId="3" fontId="26" fillId="5" borderId="1" xfId="0" applyNumberFormat="1" applyFont="1" applyFill="1" applyBorder="1"/>
    <xf numFmtId="3" fontId="26" fillId="5" borderId="2" xfId="0" applyNumberFormat="1" applyFont="1" applyFill="1" applyBorder="1"/>
    <xf numFmtId="3" fontId="26" fillId="5" borderId="11" xfId="0" applyNumberFormat="1" applyFont="1" applyFill="1" applyBorder="1"/>
    <xf numFmtId="10" fontId="25" fillId="4" borderId="54" xfId="2" applyNumberFormat="1" applyFont="1" applyFill="1" applyBorder="1" applyAlignment="1"/>
    <xf numFmtId="5" fontId="10" fillId="3" borderId="46" xfId="0" applyNumberFormat="1" applyFont="1" applyFill="1" applyBorder="1" applyAlignment="1">
      <alignment horizontal="center"/>
    </xf>
    <xf numFmtId="5" fontId="16" fillId="5" borderId="17" xfId="0" applyNumberFormat="1" applyFont="1" applyFill="1" applyBorder="1" applyAlignment="1">
      <alignment horizontal="center"/>
    </xf>
    <xf numFmtId="42" fontId="31" fillId="8" borderId="20" xfId="0" applyNumberFormat="1" applyFont="1" applyFill="1" applyBorder="1" applyAlignment="1">
      <alignment horizontal="center"/>
    </xf>
    <xf numFmtId="42" fontId="25" fillId="4" borderId="24" xfId="0" applyNumberFormat="1" applyFont="1" applyFill="1" applyBorder="1" applyAlignment="1">
      <alignment horizontal="center"/>
    </xf>
    <xf numFmtId="42" fontId="25" fillId="4" borderId="25" xfId="0" applyNumberFormat="1" applyFont="1" applyFill="1" applyBorder="1" applyAlignment="1">
      <alignment horizontal="center"/>
    </xf>
    <xf numFmtId="42" fontId="25" fillId="4" borderId="26" xfId="0" applyNumberFormat="1" applyFont="1" applyFill="1" applyBorder="1" applyAlignment="1">
      <alignment horizontal="center"/>
    </xf>
    <xf numFmtId="42" fontId="31" fillId="8" borderId="24" xfId="0" applyNumberFormat="1" applyFont="1" applyFill="1" applyBorder="1" applyAlignment="1">
      <alignment horizontal="center"/>
    </xf>
    <xf numFmtId="42" fontId="31" fillId="8" borderId="28" xfId="0" applyNumberFormat="1" applyFont="1" applyFill="1" applyBorder="1" applyAlignment="1">
      <alignment horizontal="center"/>
    </xf>
    <xf numFmtId="0" fontId="50" fillId="4" borderId="19" xfId="0" applyFont="1" applyFill="1" applyBorder="1" applyAlignment="1">
      <alignment horizontal="center"/>
    </xf>
    <xf numFmtId="0" fontId="50" fillId="4" borderId="23" xfId="0" applyFont="1" applyFill="1" applyBorder="1" applyAlignment="1">
      <alignment horizontal="center"/>
    </xf>
    <xf numFmtId="0" fontId="50" fillId="4" borderId="27" xfId="0" applyFont="1" applyFill="1" applyBorder="1" applyAlignment="1">
      <alignment horizontal="center"/>
    </xf>
    <xf numFmtId="0" fontId="10" fillId="3" borderId="15" xfId="0" applyFont="1" applyFill="1" applyBorder="1" applyAlignment="1">
      <alignment horizontal="center"/>
    </xf>
    <xf numFmtId="164" fontId="22" fillId="4" borderId="3" xfId="3" applyNumberFormat="1" applyFont="1" applyFill="1" applyBorder="1" applyAlignment="1"/>
    <xf numFmtId="5" fontId="47" fillId="8" borderId="17" xfId="0" applyNumberFormat="1" applyFont="1" applyFill="1" applyBorder="1" applyAlignment="1">
      <alignment horizontal="center"/>
    </xf>
    <xf numFmtId="0" fontId="16" fillId="7" borderId="3" xfId="0" applyFont="1" applyFill="1" applyBorder="1" applyAlignment="1">
      <alignment horizontal="center"/>
    </xf>
    <xf numFmtId="37" fontId="25" fillId="4" borderId="7" xfId="0" applyNumberFormat="1" applyFont="1" applyFill="1" applyBorder="1" applyAlignment="1">
      <alignment horizontal="center"/>
    </xf>
    <xf numFmtId="0" fontId="16" fillId="4" borderId="6" xfId="0" applyFont="1" applyFill="1" applyBorder="1" applyAlignment="1">
      <alignment horizontal="center"/>
    </xf>
    <xf numFmtId="171" fontId="10" fillId="4" borderId="7" xfId="0" applyNumberFormat="1" applyFont="1" applyFill="1" applyBorder="1" applyAlignment="1">
      <alignment horizontal="center"/>
    </xf>
    <xf numFmtId="0" fontId="10" fillId="4" borderId="7" xfId="0" applyFont="1" applyFill="1" applyBorder="1"/>
    <xf numFmtId="0" fontId="10" fillId="4" borderId="8" xfId="0" applyFont="1" applyFill="1" applyBorder="1"/>
    <xf numFmtId="5" fontId="45" fillId="4" borderId="0" xfId="3" applyNumberFormat="1" applyFont="1" applyFill="1" applyBorder="1" applyAlignment="1">
      <alignment horizontal="center"/>
    </xf>
    <xf numFmtId="5" fontId="45" fillId="4" borderId="5" xfId="3" applyNumberFormat="1" applyFont="1" applyFill="1" applyBorder="1" applyAlignment="1">
      <alignment horizontal="center"/>
    </xf>
    <xf numFmtId="0" fontId="10" fillId="4" borderId="4" xfId="0" applyFont="1" applyFill="1" applyBorder="1"/>
    <xf numFmtId="5" fontId="10" fillId="4" borderId="5" xfId="0" applyNumberFormat="1" applyFont="1" applyFill="1" applyBorder="1" applyAlignment="1">
      <alignment horizontal="center"/>
    </xf>
    <xf numFmtId="0" fontId="16" fillId="4" borderId="10" xfId="0" applyFont="1" applyFill="1" applyBorder="1" applyAlignment="1">
      <alignment horizontal="left"/>
    </xf>
    <xf numFmtId="0" fontId="16" fillId="4" borderId="9" xfId="0" applyFont="1" applyFill="1" applyBorder="1" applyAlignment="1">
      <alignment horizontal="left"/>
    </xf>
    <xf numFmtId="5" fontId="45" fillId="4" borderId="9" xfId="3" applyNumberFormat="1" applyFont="1" applyFill="1" applyBorder="1" applyAlignment="1">
      <alignment horizontal="center"/>
    </xf>
    <xf numFmtId="5" fontId="45" fillId="4" borderId="11" xfId="3" applyNumberFormat="1" applyFont="1" applyFill="1" applyBorder="1" applyAlignment="1">
      <alignment horizontal="center"/>
    </xf>
    <xf numFmtId="5" fontId="10" fillId="0" borderId="0" xfId="0" applyNumberFormat="1" applyFont="1"/>
    <xf numFmtId="0" fontId="16" fillId="7" borderId="33" xfId="0" applyFont="1" applyFill="1" applyBorder="1" applyAlignment="1">
      <alignment horizontal="center"/>
    </xf>
    <xf numFmtId="171" fontId="10" fillId="4" borderId="54" xfId="0" applyNumberFormat="1" applyFont="1" applyFill="1" applyBorder="1" applyAlignment="1">
      <alignment horizontal="center"/>
    </xf>
    <xf numFmtId="171" fontId="10" fillId="4" borderId="55" xfId="0" applyNumberFormat="1" applyFont="1" applyFill="1" applyBorder="1" applyAlignment="1">
      <alignment horizontal="center"/>
    </xf>
    <xf numFmtId="171" fontId="10" fillId="4" borderId="56" xfId="0" applyNumberFormat="1" applyFont="1" applyFill="1" applyBorder="1" applyAlignment="1">
      <alignment horizontal="center"/>
    </xf>
    <xf numFmtId="0" fontId="16" fillId="3" borderId="6" xfId="0" applyFont="1" applyFill="1" applyBorder="1" applyAlignment="1">
      <alignment horizontal="center"/>
    </xf>
    <xf numFmtId="5" fontId="47" fillId="3" borderId="7" xfId="0" applyNumberFormat="1" applyFont="1" applyFill="1" applyBorder="1" applyAlignment="1">
      <alignment horizontal="center"/>
    </xf>
    <xf numFmtId="5" fontId="47" fillId="3" borderId="8" xfId="0" applyNumberFormat="1" applyFont="1" applyFill="1" applyBorder="1" applyAlignment="1">
      <alignment horizontal="center"/>
    </xf>
    <xf numFmtId="5" fontId="47" fillId="3" borderId="5" xfId="0" applyNumberFormat="1" applyFont="1" applyFill="1" applyBorder="1" applyAlignment="1">
      <alignment horizontal="center"/>
    </xf>
    <xf numFmtId="0" fontId="16" fillId="3" borderId="10" xfId="0" applyFont="1" applyFill="1" applyBorder="1" applyAlignment="1">
      <alignment horizontal="center"/>
    </xf>
    <xf numFmtId="5" fontId="47" fillId="3" borderId="9" xfId="0" applyNumberFormat="1" applyFont="1" applyFill="1" applyBorder="1" applyAlignment="1">
      <alignment horizontal="center"/>
    </xf>
    <xf numFmtId="5" fontId="47" fillId="3" borderId="11" xfId="0" applyNumberFormat="1" applyFont="1" applyFill="1" applyBorder="1" applyAlignment="1">
      <alignment horizontal="center"/>
    </xf>
    <xf numFmtId="0" fontId="16" fillId="4" borderId="19" xfId="0" applyFont="1" applyFill="1" applyBorder="1" applyAlignment="1">
      <alignment horizontal="center"/>
    </xf>
    <xf numFmtId="0" fontId="16" fillId="4" borderId="23" xfId="0" applyFont="1" applyFill="1" applyBorder="1" applyAlignment="1">
      <alignment horizontal="center"/>
    </xf>
    <xf numFmtId="0" fontId="16" fillId="4" borderId="27" xfId="0" applyFont="1" applyFill="1" applyBorder="1" applyAlignment="1">
      <alignment horizontal="center"/>
    </xf>
    <xf numFmtId="5" fontId="50" fillId="5" borderId="12" xfId="0" applyNumberFormat="1" applyFont="1" applyFill="1" applyBorder="1" applyAlignment="1">
      <alignment horizontal="right"/>
    </xf>
    <xf numFmtId="14" fontId="48" fillId="8" borderId="12" xfId="0" applyNumberFormat="1" applyFont="1" applyFill="1" applyBorder="1" applyAlignment="1">
      <alignment horizontal="left"/>
    </xf>
    <xf numFmtId="5" fontId="48" fillId="8" borderId="12" xfId="0" applyNumberFormat="1" applyFont="1" applyFill="1" applyBorder="1" applyAlignment="1">
      <alignment horizontal="left"/>
    </xf>
    <xf numFmtId="171" fontId="42" fillId="10" borderId="2" xfId="0" applyNumberFormat="1" applyFont="1" applyFill="1" applyBorder="1" applyAlignment="1">
      <alignment wrapText="1"/>
    </xf>
    <xf numFmtId="171" fontId="42" fillId="10" borderId="3" xfId="0" applyNumberFormat="1" applyFont="1" applyFill="1" applyBorder="1" applyAlignment="1">
      <alignment wrapText="1"/>
    </xf>
    <xf numFmtId="10" fontId="10" fillId="5" borderId="12" xfId="0" applyNumberFormat="1" applyFont="1" applyFill="1" applyBorder="1" applyAlignment="1">
      <alignment horizontal="center" wrapText="1"/>
    </xf>
    <xf numFmtId="10" fontId="10" fillId="5" borderId="16" xfId="0" applyNumberFormat="1" applyFont="1" applyFill="1" applyBorder="1" applyAlignment="1">
      <alignment horizontal="center" wrapText="1"/>
    </xf>
    <xf numFmtId="10" fontId="10" fillId="5" borderId="17" xfId="0" applyNumberFormat="1" applyFont="1" applyFill="1" applyBorder="1" applyAlignment="1">
      <alignment horizontal="center" wrapText="1"/>
    </xf>
    <xf numFmtId="10" fontId="10" fillId="5" borderId="18" xfId="0" applyNumberFormat="1" applyFont="1" applyFill="1" applyBorder="1" applyAlignment="1">
      <alignment horizontal="center" wrapText="1"/>
    </xf>
    <xf numFmtId="171" fontId="10" fillId="4" borderId="8" xfId="0" applyNumberFormat="1" applyFont="1" applyFill="1" applyBorder="1" applyAlignment="1">
      <alignment horizontal="center"/>
    </xf>
    <xf numFmtId="171" fontId="16" fillId="4" borderId="0" xfId="0" applyNumberFormat="1" applyFont="1" applyFill="1" applyAlignment="1">
      <alignment horizontal="center"/>
    </xf>
    <xf numFmtId="0" fontId="10" fillId="4" borderId="0" xfId="0" applyFont="1" applyFill="1"/>
    <xf numFmtId="0" fontId="10" fillId="4" borderId="5" xfId="0" applyFont="1" applyFill="1" applyBorder="1"/>
    <xf numFmtId="0" fontId="16" fillId="4" borderId="11" xfId="0" applyFont="1" applyFill="1" applyBorder="1" applyAlignment="1">
      <alignment horizontal="left"/>
    </xf>
    <xf numFmtId="172" fontId="10" fillId="4" borderId="22" xfId="0" applyNumberFormat="1" applyFont="1" applyFill="1" applyBorder="1" applyAlignment="1">
      <alignment horizontal="center"/>
    </xf>
    <xf numFmtId="172" fontId="10" fillId="4" borderId="26" xfId="0" applyNumberFormat="1" applyFont="1" applyFill="1" applyBorder="1" applyAlignment="1">
      <alignment horizontal="center"/>
    </xf>
    <xf numFmtId="172" fontId="10" fillId="4" borderId="30" xfId="0" applyNumberFormat="1" applyFont="1" applyFill="1" applyBorder="1" applyAlignment="1">
      <alignment horizontal="center"/>
    </xf>
    <xf numFmtId="171" fontId="10" fillId="4" borderId="6" xfId="0" applyNumberFormat="1" applyFont="1" applyFill="1" applyBorder="1" applyAlignment="1">
      <alignment horizontal="center"/>
    </xf>
    <xf numFmtId="171" fontId="16" fillId="4" borderId="5" xfId="0" applyNumberFormat="1" applyFont="1" applyFill="1" applyBorder="1" applyAlignment="1">
      <alignment horizontal="center"/>
    </xf>
    <xf numFmtId="171" fontId="16" fillId="4" borderId="4" xfId="0" applyNumberFormat="1" applyFont="1" applyFill="1" applyBorder="1" applyAlignment="1">
      <alignment horizontal="center"/>
    </xf>
    <xf numFmtId="5" fontId="10" fillId="4" borderId="0" xfId="0" applyNumberFormat="1" applyFont="1" applyFill="1" applyAlignment="1">
      <alignment horizontal="center"/>
    </xf>
    <xf numFmtId="171" fontId="10" fillId="4" borderId="4" xfId="0" applyNumberFormat="1" applyFont="1" applyFill="1" applyBorder="1" applyAlignment="1">
      <alignment horizontal="center"/>
    </xf>
    <xf numFmtId="171" fontId="10" fillId="4" borderId="0" xfId="0" applyNumberFormat="1" applyFont="1" applyFill="1" applyAlignment="1">
      <alignment horizontal="center"/>
    </xf>
    <xf numFmtId="10" fontId="31" fillId="8" borderId="12" xfId="2" applyNumberFormat="1" applyFont="1" applyFill="1" applyBorder="1" applyAlignment="1">
      <alignment horizontal="center"/>
    </xf>
    <xf numFmtId="5" fontId="22" fillId="0" borderId="0" xfId="8" applyNumberFormat="1" applyFont="1"/>
    <xf numFmtId="0" fontId="2" fillId="0" borderId="0" xfId="0" applyFont="1"/>
    <xf numFmtId="5" fontId="31" fillId="0" borderId="0" xfId="8" applyNumberFormat="1" applyFont="1"/>
    <xf numFmtId="42" fontId="25" fillId="4" borderId="55" xfId="3" applyNumberFormat="1" applyFont="1" applyFill="1" applyBorder="1" applyAlignment="1"/>
    <xf numFmtId="10" fontId="25" fillId="4" borderId="55" xfId="2" applyNumberFormat="1" applyFont="1" applyFill="1" applyBorder="1" applyAlignment="1"/>
    <xf numFmtId="42" fontId="25" fillId="4" borderId="56" xfId="3" applyNumberFormat="1" applyFont="1" applyFill="1" applyBorder="1" applyAlignment="1"/>
    <xf numFmtId="42" fontId="31" fillId="8" borderId="54" xfId="0" applyNumberFormat="1" applyFont="1" applyFill="1" applyBorder="1" applyAlignment="1">
      <alignment horizontal="center"/>
    </xf>
    <xf numFmtId="10" fontId="31" fillId="8" borderId="51" xfId="2" applyNumberFormat="1" applyFont="1" applyFill="1" applyBorder="1" applyAlignment="1">
      <alignment horizontal="right"/>
    </xf>
    <xf numFmtId="42" fontId="31" fillId="8" borderId="19" xfId="0" applyNumberFormat="1" applyFont="1" applyFill="1" applyBorder="1" applyAlignment="1">
      <alignment horizontal="center"/>
    </xf>
    <xf numFmtId="42" fontId="22" fillId="4" borderId="27" xfId="3" applyNumberFormat="1" applyFont="1" applyFill="1" applyBorder="1" applyAlignment="1"/>
    <xf numFmtId="0" fontId="46" fillId="13" borderId="1" xfId="0" applyFont="1" applyFill="1" applyBorder="1" applyAlignment="1">
      <alignment horizontal="center"/>
    </xf>
    <xf numFmtId="0" fontId="46" fillId="13" borderId="2" xfId="0" applyFont="1" applyFill="1" applyBorder="1" applyAlignment="1">
      <alignment horizontal="center"/>
    </xf>
    <xf numFmtId="0" fontId="46" fillId="13" borderId="3" xfId="0" applyFont="1" applyFill="1" applyBorder="1" applyAlignment="1">
      <alignment horizontal="center"/>
    </xf>
    <xf numFmtId="0" fontId="36" fillId="2" borderId="6" xfId="0" applyFont="1" applyFill="1" applyBorder="1" applyAlignment="1">
      <alignment horizontal="center" vertical="center"/>
    </xf>
    <xf numFmtId="0" fontId="36" fillId="2" borderId="7" xfId="0" applyFont="1" applyFill="1" applyBorder="1" applyAlignment="1">
      <alignment horizontal="center" vertical="center"/>
    </xf>
    <xf numFmtId="0" fontId="36" fillId="2" borderId="8" xfId="0" applyFont="1" applyFill="1" applyBorder="1" applyAlignment="1">
      <alignment horizontal="center" vertical="center"/>
    </xf>
    <xf numFmtId="0" fontId="37" fillId="8" borderId="1" xfId="0" applyFont="1" applyFill="1" applyBorder="1" applyAlignment="1">
      <alignment horizontal="left" vertical="center"/>
    </xf>
    <xf numFmtId="0" fontId="37" fillId="8" borderId="3" xfId="0" applyFont="1" applyFill="1" applyBorder="1" applyAlignment="1">
      <alignment horizontal="left" vertical="center"/>
    </xf>
    <xf numFmtId="0" fontId="20" fillId="2" borderId="10" xfId="0" applyFont="1" applyFill="1" applyBorder="1" applyAlignment="1">
      <alignment horizontal="right" vertical="center"/>
    </xf>
    <xf numFmtId="0" fontId="20" fillId="2" borderId="9" xfId="0" applyFont="1" applyFill="1" applyBorder="1" applyAlignment="1">
      <alignment horizontal="right" vertical="center"/>
    </xf>
    <xf numFmtId="0" fontId="39" fillId="7" borderId="1" xfId="0" applyFont="1" applyFill="1" applyBorder="1" applyAlignment="1">
      <alignment horizontal="center"/>
    </xf>
    <xf numFmtId="0" fontId="39" fillId="7" borderId="2" xfId="0" applyFont="1" applyFill="1" applyBorder="1" applyAlignment="1">
      <alignment horizontal="center"/>
    </xf>
    <xf numFmtId="0" fontId="39" fillId="7" borderId="3" xfId="0" applyFont="1" applyFill="1" applyBorder="1" applyAlignment="1">
      <alignment horizontal="center"/>
    </xf>
    <xf numFmtId="0" fontId="22" fillId="5" borderId="2" xfId="0" applyFont="1" applyFill="1" applyBorder="1" applyAlignment="1">
      <alignment horizontal="center"/>
    </xf>
    <xf numFmtId="0" fontId="22" fillId="4" borderId="15" xfId="0" applyFont="1" applyFill="1" applyBorder="1" applyAlignment="1">
      <alignment horizontal="center" vertical="center" wrapText="1"/>
    </xf>
    <xf numFmtId="0" fontId="22" fillId="4" borderId="13" xfId="0" applyFont="1" applyFill="1" applyBorder="1" applyAlignment="1">
      <alignment horizontal="center" vertical="center" wrapText="1"/>
    </xf>
    <xf numFmtId="0" fontId="22" fillId="4" borderId="14" xfId="0" applyFont="1" applyFill="1" applyBorder="1" applyAlignment="1">
      <alignment horizontal="center" vertical="center" wrapText="1"/>
    </xf>
    <xf numFmtId="0" fontId="19" fillId="9" borderId="0" xfId="0" applyFont="1" applyFill="1" applyAlignment="1">
      <alignment horizontal="center" vertical="center" wrapText="1"/>
    </xf>
    <xf numFmtId="3" fontId="40" fillId="7" borderId="1" xfId="0" applyNumberFormat="1" applyFont="1" applyFill="1" applyBorder="1" applyAlignment="1">
      <alignment horizontal="center"/>
    </xf>
    <xf numFmtId="3" fontId="40" fillId="7" borderId="2" xfId="0" applyNumberFormat="1" applyFont="1" applyFill="1" applyBorder="1" applyAlignment="1">
      <alignment horizontal="center"/>
    </xf>
    <xf numFmtId="3" fontId="40" fillId="7" borderId="3" xfId="0" applyNumberFormat="1" applyFont="1" applyFill="1" applyBorder="1" applyAlignment="1">
      <alignment horizontal="center"/>
    </xf>
    <xf numFmtId="37" fontId="38" fillId="10" borderId="1" xfId="0" applyNumberFormat="1" applyFont="1" applyFill="1" applyBorder="1" applyAlignment="1">
      <alignment horizontal="center"/>
    </xf>
    <xf numFmtId="37" fontId="38" fillId="10" borderId="2" xfId="0" applyNumberFormat="1" applyFont="1" applyFill="1" applyBorder="1" applyAlignment="1">
      <alignment horizontal="center"/>
    </xf>
    <xf numFmtId="37" fontId="38" fillId="10" borderId="33" xfId="0" applyNumberFormat="1" applyFont="1" applyFill="1" applyBorder="1" applyAlignment="1">
      <alignment horizontal="center"/>
    </xf>
    <xf numFmtId="10" fontId="38" fillId="10" borderId="1" xfId="0" applyNumberFormat="1" applyFont="1" applyFill="1" applyBorder="1" applyAlignment="1">
      <alignment horizontal="center" vertical="center"/>
    </xf>
    <xf numFmtId="10" fontId="38" fillId="10" borderId="3" xfId="0" applyNumberFormat="1" applyFont="1" applyFill="1" applyBorder="1" applyAlignment="1">
      <alignment horizontal="center" vertical="center"/>
    </xf>
    <xf numFmtId="164" fontId="38" fillId="10" borderId="1" xfId="2" applyNumberFormat="1" applyFont="1" applyFill="1" applyBorder="1" applyAlignment="1">
      <alignment horizontal="center"/>
    </xf>
    <xf numFmtId="164" fontId="38" fillId="10" borderId="8" xfId="2" applyNumberFormat="1" applyFont="1" applyFill="1" applyBorder="1" applyAlignment="1">
      <alignment horizontal="center"/>
    </xf>
    <xf numFmtId="0" fontId="31" fillId="8" borderId="1" xfId="0" applyFont="1" applyFill="1" applyBorder="1"/>
    <xf numFmtId="0" fontId="31" fillId="8" borderId="3" xfId="0" applyFont="1" applyFill="1" applyBorder="1"/>
    <xf numFmtId="0" fontId="31" fillId="8" borderId="1" xfId="0" applyFont="1" applyFill="1" applyBorder="1" applyAlignment="1">
      <alignment horizontal="left"/>
    </xf>
    <xf numFmtId="0" fontId="31" fillId="8" borderId="3" xfId="0" applyFont="1" applyFill="1" applyBorder="1" applyAlignment="1">
      <alignment horizontal="left"/>
    </xf>
    <xf numFmtId="0" fontId="6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3" fontId="26" fillId="0" borderId="9" xfId="0" applyNumberFormat="1" applyFont="1" applyBorder="1" applyAlignment="1">
      <alignment horizontal="center"/>
    </xf>
    <xf numFmtId="3" fontId="23" fillId="3" borderId="16" xfId="0" applyNumberFormat="1" applyFont="1" applyFill="1" applyBorder="1" applyAlignment="1">
      <alignment horizontal="center"/>
    </xf>
    <xf numFmtId="3" fontId="23" fillId="3" borderId="17" xfId="0" applyNumberFormat="1" applyFont="1" applyFill="1" applyBorder="1" applyAlignment="1">
      <alignment horizontal="center"/>
    </xf>
    <xf numFmtId="3" fontId="23" fillId="3" borderId="18" xfId="0" applyNumberFormat="1" applyFont="1" applyFill="1" applyBorder="1" applyAlignment="1">
      <alignment horizontal="center"/>
    </xf>
    <xf numFmtId="164" fontId="38" fillId="10" borderId="6" xfId="2" applyNumberFormat="1" applyFont="1" applyFill="1" applyBorder="1" applyAlignment="1">
      <alignment horizontal="center"/>
    </xf>
    <xf numFmtId="164" fontId="38" fillId="10" borderId="5" xfId="2" applyNumberFormat="1" applyFont="1" applyFill="1" applyBorder="1" applyAlignment="1">
      <alignment horizontal="center"/>
    </xf>
    <xf numFmtId="3" fontId="23" fillId="5" borderId="15" xfId="0" applyNumberFormat="1" applyFont="1" applyFill="1" applyBorder="1" applyAlignment="1">
      <alignment horizontal="center"/>
    </xf>
    <xf numFmtId="3" fontId="23" fillId="5" borderId="14" xfId="0" applyNumberFormat="1" applyFont="1" applyFill="1" applyBorder="1" applyAlignment="1">
      <alignment horizontal="center"/>
    </xf>
    <xf numFmtId="0" fontId="51" fillId="2" borderId="6" xfId="0" applyFont="1" applyFill="1" applyBorder="1" applyAlignment="1">
      <alignment horizontal="center"/>
    </xf>
    <xf numFmtId="0" fontId="51" fillId="2" borderId="7" xfId="0" applyFont="1" applyFill="1" applyBorder="1" applyAlignment="1">
      <alignment horizontal="center"/>
    </xf>
    <xf numFmtId="0" fontId="51" fillId="2" borderId="8" xfId="0" applyFont="1" applyFill="1" applyBorder="1" applyAlignment="1">
      <alignment horizontal="center"/>
    </xf>
    <xf numFmtId="0" fontId="17" fillId="2" borderId="4" xfId="0" applyFont="1" applyFill="1" applyBorder="1" applyAlignment="1">
      <alignment horizontal="center"/>
    </xf>
    <xf numFmtId="0" fontId="17" fillId="2" borderId="0" xfId="0" applyFont="1" applyFill="1" applyAlignment="1">
      <alignment horizontal="center"/>
    </xf>
    <xf numFmtId="0" fontId="17" fillId="2" borderId="5" xfId="0" applyFont="1" applyFill="1" applyBorder="1" applyAlignment="1">
      <alignment horizontal="center"/>
    </xf>
    <xf numFmtId="0" fontId="52" fillId="10" borderId="4" xfId="0" applyFont="1" applyFill="1" applyBorder="1" applyAlignment="1">
      <alignment horizontal="center"/>
    </xf>
    <xf numFmtId="0" fontId="52" fillId="10" borderId="0" xfId="0" applyFont="1" applyFill="1" applyAlignment="1">
      <alignment horizontal="center"/>
    </xf>
    <xf numFmtId="0" fontId="52" fillId="10" borderId="5" xfId="0" applyFont="1" applyFill="1" applyBorder="1" applyAlignment="1">
      <alignment horizontal="center"/>
    </xf>
    <xf numFmtId="0" fontId="16" fillId="7" borderId="36" xfId="0" applyFont="1" applyFill="1" applyBorder="1" applyAlignment="1">
      <alignment horizontal="center" wrapText="1"/>
    </xf>
    <xf numFmtId="0" fontId="16" fillId="7" borderId="42" xfId="0" applyFont="1" applyFill="1" applyBorder="1" applyAlignment="1">
      <alignment horizontal="center"/>
    </xf>
    <xf numFmtId="0" fontId="18" fillId="2" borderId="10" xfId="0" applyFont="1" applyFill="1" applyBorder="1" applyAlignment="1">
      <alignment horizontal="center"/>
    </xf>
    <xf numFmtId="0" fontId="18" fillId="2" borderId="9" xfId="0" applyFont="1" applyFill="1" applyBorder="1" applyAlignment="1">
      <alignment horizontal="center"/>
    </xf>
    <xf numFmtId="0" fontId="18" fillId="2" borderId="11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171" fontId="50" fillId="7" borderId="2" xfId="0" applyNumberFormat="1" applyFont="1" applyFill="1" applyBorder="1" applyAlignment="1">
      <alignment horizontal="center" wrapText="1"/>
    </xf>
    <xf numFmtId="171" fontId="50" fillId="7" borderId="3" xfId="0" applyNumberFormat="1" applyFont="1" applyFill="1" applyBorder="1" applyAlignment="1">
      <alignment horizontal="center" wrapText="1"/>
    </xf>
    <xf numFmtId="10" fontId="16" fillId="7" borderId="1" xfId="0" applyNumberFormat="1" applyFont="1" applyFill="1" applyBorder="1" applyAlignment="1">
      <alignment horizontal="center" wrapText="1"/>
    </xf>
    <xf numFmtId="10" fontId="16" fillId="7" borderId="2" xfId="0" applyNumberFormat="1" applyFont="1" applyFill="1" applyBorder="1" applyAlignment="1">
      <alignment horizontal="center" wrapText="1"/>
    </xf>
    <xf numFmtId="10" fontId="16" fillId="7" borderId="3" xfId="0" applyNumberFormat="1" applyFont="1" applyFill="1" applyBorder="1" applyAlignment="1">
      <alignment horizontal="center" wrapText="1"/>
    </xf>
    <xf numFmtId="0" fontId="10" fillId="5" borderId="1" xfId="0" applyFont="1" applyFill="1" applyBorder="1" applyAlignment="1">
      <alignment horizontal="center"/>
    </xf>
    <xf numFmtId="0" fontId="10" fillId="5" borderId="2" xfId="0" applyFont="1" applyFill="1" applyBorder="1" applyAlignment="1">
      <alignment horizontal="center"/>
    </xf>
    <xf numFmtId="0" fontId="10" fillId="5" borderId="3" xfId="0" applyFont="1" applyFill="1" applyBorder="1" applyAlignment="1">
      <alignment horizontal="center"/>
    </xf>
    <xf numFmtId="171" fontId="10" fillId="5" borderId="1" xfId="0" applyNumberFormat="1" applyFont="1" applyFill="1" applyBorder="1" applyAlignment="1">
      <alignment horizontal="center"/>
    </xf>
    <xf numFmtId="171" fontId="10" fillId="5" borderId="2" xfId="0" applyNumberFormat="1" applyFont="1" applyFill="1" applyBorder="1" applyAlignment="1">
      <alignment horizontal="center"/>
    </xf>
    <xf numFmtId="171" fontId="10" fillId="5" borderId="3" xfId="0" applyNumberFormat="1" applyFont="1" applyFill="1" applyBorder="1" applyAlignment="1">
      <alignment horizontal="center"/>
    </xf>
    <xf numFmtId="0" fontId="16" fillId="7" borderId="39" xfId="0" applyFont="1" applyFill="1" applyBorder="1" applyAlignment="1">
      <alignment horizontal="center" wrapText="1"/>
    </xf>
    <xf numFmtId="0" fontId="16" fillId="7" borderId="41" xfId="0" applyFont="1" applyFill="1" applyBorder="1" applyAlignment="1">
      <alignment horizontal="center"/>
    </xf>
    <xf numFmtId="0" fontId="16" fillId="7" borderId="35" xfId="0" applyFont="1" applyFill="1" applyBorder="1" applyAlignment="1">
      <alignment horizontal="center" wrapText="1"/>
    </xf>
    <xf numFmtId="0" fontId="16" fillId="7" borderId="32" xfId="0" applyFont="1" applyFill="1" applyBorder="1" applyAlignment="1">
      <alignment horizontal="center"/>
    </xf>
    <xf numFmtId="0" fontId="16" fillId="7" borderId="32" xfId="0" applyFont="1" applyFill="1" applyBorder="1" applyAlignment="1">
      <alignment horizontal="center" wrapText="1"/>
    </xf>
    <xf numFmtId="0" fontId="10" fillId="3" borderId="45" xfId="0" applyFont="1" applyFill="1" applyBorder="1" applyAlignment="1">
      <alignment horizontal="right"/>
    </xf>
    <xf numFmtId="0" fontId="10" fillId="3" borderId="46" xfId="0" applyFont="1" applyFill="1" applyBorder="1" applyAlignment="1">
      <alignment horizontal="right"/>
    </xf>
    <xf numFmtId="0" fontId="10" fillId="3" borderId="1" xfId="0" applyFont="1" applyFill="1" applyBorder="1" applyAlignment="1">
      <alignment horizontal="right"/>
    </xf>
    <xf numFmtId="0" fontId="10" fillId="3" borderId="3" xfId="0" applyFont="1" applyFill="1" applyBorder="1" applyAlignment="1">
      <alignment horizontal="right"/>
    </xf>
    <xf numFmtId="0" fontId="16" fillId="5" borderId="1" xfId="0" applyFont="1" applyFill="1" applyBorder="1" applyAlignment="1">
      <alignment horizontal="right"/>
    </xf>
    <xf numFmtId="0" fontId="16" fillId="5" borderId="3" xfId="0" applyFont="1" applyFill="1" applyBorder="1" applyAlignment="1">
      <alignment horizontal="right"/>
    </xf>
    <xf numFmtId="0" fontId="10" fillId="3" borderId="49" xfId="0" applyFont="1" applyFill="1" applyBorder="1" applyAlignment="1">
      <alignment horizontal="right"/>
    </xf>
    <xf numFmtId="0" fontId="10" fillId="3" borderId="50" xfId="0" applyFont="1" applyFill="1" applyBorder="1" applyAlignment="1">
      <alignment horizontal="right"/>
    </xf>
    <xf numFmtId="0" fontId="16" fillId="4" borderId="10" xfId="0" applyFont="1" applyFill="1" applyBorder="1" applyAlignment="1">
      <alignment horizontal="left"/>
    </xf>
    <xf numFmtId="0" fontId="16" fillId="4" borderId="9" xfId="0" applyFont="1" applyFill="1" applyBorder="1" applyAlignment="1">
      <alignment horizontal="left"/>
    </xf>
    <xf numFmtId="0" fontId="10" fillId="3" borderId="45" xfId="0" applyFont="1" applyFill="1" applyBorder="1" applyAlignment="1">
      <alignment horizontal="left"/>
    </xf>
    <xf numFmtId="0" fontId="10" fillId="3" borderId="52" xfId="0" applyFont="1" applyFill="1" applyBorder="1" applyAlignment="1">
      <alignment horizontal="left"/>
    </xf>
    <xf numFmtId="0" fontId="10" fillId="3" borderId="46" xfId="0" applyFont="1" applyFill="1" applyBorder="1" applyAlignment="1">
      <alignment horizontal="left"/>
    </xf>
    <xf numFmtId="5" fontId="12" fillId="3" borderId="49" xfId="0" applyNumberFormat="1" applyFont="1" applyFill="1" applyBorder="1" applyAlignment="1">
      <alignment horizontal="left"/>
    </xf>
    <xf numFmtId="5" fontId="12" fillId="3" borderId="53" xfId="0" applyNumberFormat="1" applyFont="1" applyFill="1" applyBorder="1" applyAlignment="1">
      <alignment horizontal="left"/>
    </xf>
    <xf numFmtId="5" fontId="12" fillId="3" borderId="50" xfId="0" applyNumberFormat="1" applyFont="1" applyFill="1" applyBorder="1" applyAlignment="1">
      <alignment horizontal="left"/>
    </xf>
    <xf numFmtId="0" fontId="16" fillId="5" borderId="1" xfId="0" applyFont="1" applyFill="1" applyBorder="1" applyAlignment="1">
      <alignment horizontal="left"/>
    </xf>
    <xf numFmtId="0" fontId="16" fillId="5" borderId="2" xfId="0" applyFont="1" applyFill="1" applyBorder="1" applyAlignment="1">
      <alignment horizontal="left"/>
    </xf>
    <xf numFmtId="0" fontId="16" fillId="5" borderId="3" xfId="0" applyFont="1" applyFill="1" applyBorder="1" applyAlignment="1">
      <alignment horizontal="left"/>
    </xf>
    <xf numFmtId="0" fontId="16" fillId="5" borderId="1" xfId="0" applyFont="1" applyFill="1" applyBorder="1"/>
    <xf numFmtId="0" fontId="16" fillId="5" borderId="2" xfId="0" applyFont="1" applyFill="1" applyBorder="1"/>
    <xf numFmtId="0" fontId="16" fillId="5" borderId="3" xfId="0" applyFont="1" applyFill="1" applyBorder="1"/>
    <xf numFmtId="0" fontId="10" fillId="3" borderId="1" xfId="0" applyFont="1" applyFill="1" applyBorder="1" applyAlignment="1">
      <alignment horizontal="left"/>
    </xf>
    <xf numFmtId="0" fontId="10" fillId="3" borderId="2" xfId="0" applyFont="1" applyFill="1" applyBorder="1" applyAlignment="1">
      <alignment horizontal="left"/>
    </xf>
    <xf numFmtId="0" fontId="10" fillId="3" borderId="3" xfId="0" applyFont="1" applyFill="1" applyBorder="1" applyAlignment="1">
      <alignment horizontal="left"/>
    </xf>
    <xf numFmtId="10" fontId="10" fillId="5" borderId="1" xfId="0" applyNumberFormat="1" applyFont="1" applyFill="1" applyBorder="1" applyAlignment="1">
      <alignment horizontal="center" wrapText="1"/>
    </xf>
    <xf numFmtId="10" fontId="10" fillId="5" borderId="2" xfId="0" applyNumberFormat="1" applyFont="1" applyFill="1" applyBorder="1" applyAlignment="1">
      <alignment horizontal="center" wrapText="1"/>
    </xf>
    <xf numFmtId="10" fontId="10" fillId="5" borderId="3" xfId="0" applyNumberFormat="1" applyFont="1" applyFill="1" applyBorder="1" applyAlignment="1">
      <alignment horizontal="center" wrapText="1"/>
    </xf>
    <xf numFmtId="0" fontId="16" fillId="7" borderId="41" xfId="0" applyFont="1" applyFill="1" applyBorder="1" applyAlignment="1">
      <alignment horizontal="center" wrapText="1"/>
    </xf>
    <xf numFmtId="0" fontId="16" fillId="7" borderId="7" xfId="0" applyFont="1" applyFill="1" applyBorder="1" applyAlignment="1">
      <alignment horizontal="center" wrapText="1"/>
    </xf>
    <xf numFmtId="0" fontId="16" fillId="7" borderId="9" xfId="0" applyFont="1" applyFill="1" applyBorder="1" applyAlignment="1">
      <alignment horizontal="center" wrapText="1"/>
    </xf>
    <xf numFmtId="0" fontId="16" fillId="7" borderId="15" xfId="0" applyFont="1" applyFill="1" applyBorder="1" applyAlignment="1">
      <alignment horizontal="center" wrapText="1"/>
    </xf>
    <xf numFmtId="0" fontId="16" fillId="7" borderId="14" xfId="0" applyFont="1" applyFill="1" applyBorder="1" applyAlignment="1">
      <alignment horizontal="center"/>
    </xf>
    <xf numFmtId="0" fontId="48" fillId="8" borderId="1" xfId="0" applyFont="1" applyFill="1" applyBorder="1" applyAlignment="1">
      <alignment horizontal="left"/>
    </xf>
    <xf numFmtId="0" fontId="48" fillId="8" borderId="3" xfId="0" applyFont="1" applyFill="1" applyBorder="1" applyAlignment="1">
      <alignment horizontal="left"/>
    </xf>
    <xf numFmtId="14" fontId="48" fillId="8" borderId="1" xfId="0" applyNumberFormat="1" applyFont="1" applyFill="1" applyBorder="1" applyAlignment="1">
      <alignment horizontal="left"/>
    </xf>
    <xf numFmtId="14" fontId="48" fillId="8" borderId="3" xfId="0" applyNumberFormat="1" applyFont="1" applyFill="1" applyBorder="1" applyAlignment="1">
      <alignment horizontal="left"/>
    </xf>
    <xf numFmtId="0" fontId="16" fillId="7" borderId="14" xfId="0" applyFont="1" applyFill="1" applyBorder="1" applyAlignment="1">
      <alignment horizontal="center" wrapText="1"/>
    </xf>
    <xf numFmtId="0" fontId="16" fillId="7" borderId="45" xfId="0" applyFont="1" applyFill="1" applyBorder="1" applyAlignment="1">
      <alignment horizontal="center" wrapText="1"/>
    </xf>
    <xf numFmtId="0" fontId="16" fillId="7" borderId="46" xfId="0" applyFont="1" applyFill="1" applyBorder="1" applyAlignment="1">
      <alignment horizontal="center" wrapText="1"/>
    </xf>
  </cellXfs>
  <cellStyles count="9">
    <cellStyle name="Comma 2" xfId="3" xr:uid="{00000000-0005-0000-0000-000001000000}"/>
    <cellStyle name="Currency" xfId="8" builtinId="4"/>
    <cellStyle name="Currency 2" xfId="4" xr:uid="{00000000-0005-0000-0000-000002000000}"/>
    <cellStyle name="Currency 4" xfId="7" xr:uid="{05FF7CFF-E5C0-43B9-BE4A-EC149D57CB46}"/>
    <cellStyle name="Normal" xfId="0" builtinId="0"/>
    <cellStyle name="Normal 8" xfId="5" xr:uid="{FC0F9336-2A9B-458C-A52A-1BF4CA421471}"/>
    <cellStyle name="Normal 9" xfId="6" xr:uid="{0F653EE0-0EC5-4BEB-B5BA-5F2E8F33F1BD}"/>
    <cellStyle name="Percent" xfId="1" builtinId="5"/>
    <cellStyle name="Percent 2" xfId="2" xr:uid="{00000000-0005-0000-0000-000005000000}"/>
  </cellStyles>
  <dxfs count="12"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colors>
    <mruColors>
      <color rgb="FF0000FF"/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John Errigo" id="{BAFF51E7-5738-4049-B821-0AAB594ED6E0}" userId="John Errigo" providerId="None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J18" dT="2024-11-14T01:34:13.76" personId="{BAFF51E7-5738-4049-B821-0AAB594ED6E0}" id="{021E6932-9311-4AB6-8957-91D53D5B747B}">
    <text>Fund Minimum of 3 Months.</text>
  </threadedComment>
  <threadedComment ref="J29" dT="2024-11-22T20:27:21.60" personId="{BAFF51E7-5738-4049-B821-0AAB594ED6E0}" id="{34CD26AF-F90B-4E78-B4DA-3296AD633022}">
    <text>Fund Maximum is 1.00%.</text>
  </threadedComment>
  <threadedComment ref="J30" dT="2024-11-14T01:35:21.21" personId="{BAFF51E7-5738-4049-B821-0AAB594ED6E0}" id="{60C5D8D9-5986-40B5-840A-DEEE4C254BED}">
    <text>Fund Maximum is 1.50%.</text>
  </threadedComment>
  <threadedComment ref="O65" dT="2024-12-03T06:11:30.46" personId="{BAFF51E7-5738-4049-B821-0AAB594ED6E0}" id="{FC2D9DD4-DF16-48E2-9394-C58A8B787106}">
    <text>NOAH Impact Fund Requires Return of Capital + Hurdle Rate Look Back.</text>
  </threadedComment>
  <threadedComment ref="G106" dT="2024-12-03T06:17:49.81" personId="{BAFF51E7-5738-4049-B821-0AAB594ED6E0}" id="{50BFB601-8ED8-4659-9636-5CEEC1B58A90}">
    <text>Reflects Property Improvements.</text>
  </threadedComment>
  <threadedComment ref="H106" dT="2024-12-03T06:17:32.87" personId="{BAFF51E7-5738-4049-B821-0AAB594ED6E0}" id="{CA3FCAE3-14F8-47EC-8D35-9D483EC64B0A}">
    <text>Reflects Property Improvements.</text>
  </threadedComment>
  <threadedComment ref="I106" dT="2024-12-03T06:18:10.54" personId="{BAFF51E7-5738-4049-B821-0AAB594ED6E0}" id="{4A628ADC-DEA6-4C93-903A-07BB226781DD}">
    <text>Reflects GMHF Underwriting Requirement.</text>
  </threadedComment>
  <threadedComment ref="F111" dT="2024-11-14T01:53:34.79" personId="{BAFF51E7-5738-4049-B821-0AAB594ED6E0}" id="{3308FC96-3CF8-407D-9467-34F6ECBAFE46}">
    <text>Vacancy Loss to be validated by track record.  Fund may assume 90% economic occupancy in Year1, 93% economic occupancy in Year 2, and 95% economic occupancy in Years 3+.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/>
  </sheetPr>
  <dimension ref="A1:T157"/>
  <sheetViews>
    <sheetView tabSelected="1" zoomScaleNormal="100" workbookViewId="0">
      <selection sqref="A1:O1"/>
    </sheetView>
  </sheetViews>
  <sheetFormatPr defaultColWidth="8.44140625" defaultRowHeight="18" customHeight="1" x14ac:dyDescent="0.3"/>
  <cols>
    <col min="1" max="12" width="15.5546875" style="12" customWidth="1"/>
    <col min="13" max="14" width="15.5546875" style="23" customWidth="1"/>
    <col min="15" max="15" width="15.5546875" style="12" customWidth="1"/>
    <col min="16" max="19" width="8.44140625" style="12" customWidth="1"/>
    <col min="20" max="16384" width="8.44140625" style="12"/>
  </cols>
  <sheetData>
    <row r="1" spans="1:16" ht="61.5" customHeight="1" x14ac:dyDescent="0.3">
      <c r="A1" s="650" t="s">
        <v>47</v>
      </c>
      <c r="B1" s="651"/>
      <c r="C1" s="651"/>
      <c r="D1" s="651"/>
      <c r="E1" s="651"/>
      <c r="F1" s="651"/>
      <c r="G1" s="651"/>
      <c r="H1" s="651"/>
      <c r="I1" s="651"/>
      <c r="J1" s="651"/>
      <c r="K1" s="651"/>
      <c r="L1" s="651"/>
      <c r="M1" s="651"/>
      <c r="N1" s="651"/>
      <c r="O1" s="652"/>
    </row>
    <row r="2" spans="1:16" ht="25.8" x14ac:dyDescent="0.3">
      <c r="A2" s="655" t="s">
        <v>48</v>
      </c>
      <c r="B2" s="656"/>
      <c r="C2" s="653"/>
      <c r="D2" s="654"/>
      <c r="E2" s="655" t="s">
        <v>51</v>
      </c>
      <c r="F2" s="656"/>
      <c r="G2" s="656"/>
      <c r="H2" s="653"/>
      <c r="I2" s="654"/>
      <c r="J2" s="109" t="s">
        <v>54</v>
      </c>
      <c r="K2" s="653"/>
      <c r="L2" s="654"/>
      <c r="M2" s="109" t="s">
        <v>55</v>
      </c>
      <c r="N2" s="653"/>
      <c r="O2" s="654"/>
    </row>
    <row r="3" spans="1:16" ht="18" customHeight="1" x14ac:dyDescent="0.3">
      <c r="A3" s="647" t="s">
        <v>215</v>
      </c>
      <c r="B3" s="648"/>
      <c r="C3" s="648"/>
      <c r="D3" s="648"/>
      <c r="E3" s="648"/>
      <c r="F3" s="648"/>
      <c r="G3" s="648"/>
      <c r="H3" s="648"/>
      <c r="I3" s="648"/>
      <c r="J3" s="648"/>
      <c r="K3" s="648"/>
      <c r="L3" s="648"/>
      <c r="M3" s="648"/>
      <c r="N3" s="648"/>
      <c r="O3" s="649"/>
    </row>
    <row r="4" spans="1:16" ht="18" customHeight="1" x14ac:dyDescent="0.3">
      <c r="M4" s="12"/>
      <c r="N4" s="12"/>
    </row>
    <row r="5" spans="1:16" ht="23.4" x14ac:dyDescent="0.45">
      <c r="A5" s="657" t="s">
        <v>0</v>
      </c>
      <c r="B5" s="658"/>
      <c r="C5" s="658"/>
      <c r="D5" s="658"/>
      <c r="E5" s="658"/>
      <c r="F5" s="659"/>
      <c r="G5" s="657" t="s">
        <v>1</v>
      </c>
      <c r="H5" s="658"/>
      <c r="I5" s="658"/>
      <c r="J5" s="658"/>
      <c r="K5" s="658"/>
      <c r="L5" s="658"/>
      <c r="M5" s="658"/>
      <c r="N5" s="658"/>
      <c r="O5" s="659"/>
    </row>
    <row r="6" spans="1:16" ht="18" customHeight="1" x14ac:dyDescent="0.3">
      <c r="A6" s="37"/>
      <c r="B6" s="21"/>
      <c r="C6" s="21"/>
      <c r="F6" s="38"/>
      <c r="G6" s="99"/>
      <c r="H6" s="39"/>
      <c r="I6" s="39"/>
      <c r="J6" s="39"/>
      <c r="K6" s="40"/>
      <c r="L6" s="41"/>
      <c r="M6" s="39"/>
      <c r="N6" s="39"/>
      <c r="O6" s="42"/>
    </row>
    <row r="7" spans="1:16" ht="18" customHeight="1" x14ac:dyDescent="0.3">
      <c r="A7" s="15"/>
      <c r="B7" s="112" t="s">
        <v>75</v>
      </c>
      <c r="F7" s="38"/>
      <c r="G7" s="15"/>
      <c r="H7" s="21" t="s">
        <v>82</v>
      </c>
      <c r="L7" s="129" t="s">
        <v>5</v>
      </c>
      <c r="M7" s="187" t="s">
        <v>6</v>
      </c>
      <c r="N7" s="187" t="s">
        <v>128</v>
      </c>
      <c r="O7" s="38"/>
    </row>
    <row r="8" spans="1:16" ht="18" customHeight="1" x14ac:dyDescent="0.3">
      <c r="A8" s="15"/>
      <c r="B8" s="71" t="s">
        <v>62</v>
      </c>
      <c r="E8" s="105"/>
      <c r="F8" s="38"/>
      <c r="G8" s="15"/>
      <c r="H8" s="12" t="s">
        <v>84</v>
      </c>
      <c r="I8" s="130">
        <f>IF(L16=0,0,L8/L16)</f>
        <v>0</v>
      </c>
      <c r="J8" s="12" t="s">
        <v>86</v>
      </c>
      <c r="L8" s="248">
        <f>IF(E35&gt;0,E35,E34)</f>
        <v>0</v>
      </c>
      <c r="M8" s="249">
        <f t="shared" ref="M8:M13" si="0">IF($E$11=0,0,L8/$E$11)</f>
        <v>0</v>
      </c>
      <c r="N8" s="250">
        <f t="shared" ref="N8:N13" si="1">IF($L$13=0,0,L8/$L$13)</f>
        <v>0</v>
      </c>
      <c r="O8" s="38"/>
    </row>
    <row r="9" spans="1:16" ht="18" customHeight="1" x14ac:dyDescent="0.3">
      <c r="A9" s="15"/>
      <c r="B9" s="198" t="s">
        <v>187</v>
      </c>
      <c r="D9" s="679" t="s">
        <v>190</v>
      </c>
      <c r="E9" s="231">
        <f>'Unit Mix'!C16</f>
        <v>0</v>
      </c>
      <c r="F9" s="38"/>
      <c r="G9" s="15"/>
      <c r="H9" s="677"/>
      <c r="I9" s="678"/>
      <c r="J9" s="637"/>
      <c r="K9" s="638"/>
      <c r="L9" s="251">
        <v>0</v>
      </c>
      <c r="M9" s="252">
        <f t="shared" si="0"/>
        <v>0</v>
      </c>
      <c r="N9" s="253">
        <f t="shared" si="1"/>
        <v>0</v>
      </c>
      <c r="O9" s="38"/>
    </row>
    <row r="10" spans="1:16" ht="18" customHeight="1" x14ac:dyDescent="0.3">
      <c r="A10" s="15"/>
      <c r="B10" s="198" t="s">
        <v>188</v>
      </c>
      <c r="D10" s="680"/>
      <c r="E10" s="232">
        <f>'Unit Mix'!C17</f>
        <v>0</v>
      </c>
      <c r="F10" s="38"/>
      <c r="G10" s="15"/>
      <c r="H10" s="677"/>
      <c r="I10" s="678"/>
      <c r="J10" s="637"/>
      <c r="K10" s="638"/>
      <c r="L10" s="254">
        <v>0</v>
      </c>
      <c r="M10" s="252">
        <f t="shared" si="0"/>
        <v>0</v>
      </c>
      <c r="N10" s="253">
        <f t="shared" si="1"/>
        <v>0</v>
      </c>
      <c r="O10" s="38"/>
    </row>
    <row r="11" spans="1:16" ht="18" customHeight="1" x14ac:dyDescent="0.3">
      <c r="A11" s="15"/>
      <c r="B11" s="198" t="s">
        <v>189</v>
      </c>
      <c r="D11" s="680"/>
      <c r="E11" s="230">
        <f>SUM(E9:E10)</f>
        <v>0</v>
      </c>
      <c r="F11" s="38"/>
      <c r="G11" s="15"/>
      <c r="H11" s="12" t="s">
        <v>111</v>
      </c>
      <c r="J11" s="639"/>
      <c r="K11" s="638"/>
      <c r="L11" s="255">
        <f>E21</f>
        <v>0</v>
      </c>
      <c r="M11" s="252">
        <f t="shared" si="0"/>
        <v>0</v>
      </c>
      <c r="N11" s="253">
        <f t="shared" si="1"/>
        <v>0</v>
      </c>
      <c r="O11" s="38"/>
    </row>
    <row r="12" spans="1:16" ht="18" customHeight="1" x14ac:dyDescent="0.3">
      <c r="A12" s="15"/>
      <c r="B12" s="444" t="s">
        <v>76</v>
      </c>
      <c r="E12" s="107"/>
      <c r="F12" s="38"/>
      <c r="G12" s="15"/>
      <c r="H12" s="12" t="s">
        <v>66</v>
      </c>
      <c r="L12" s="256">
        <f>E22</f>
        <v>0</v>
      </c>
      <c r="M12" s="257">
        <f t="shared" si="0"/>
        <v>0</v>
      </c>
      <c r="N12" s="258">
        <f t="shared" si="1"/>
        <v>0</v>
      </c>
      <c r="O12" s="131"/>
      <c r="P12" s="43"/>
    </row>
    <row r="13" spans="1:16" ht="18" customHeight="1" x14ac:dyDescent="0.3">
      <c r="A13" s="15"/>
      <c r="B13" s="111" t="s">
        <v>64</v>
      </c>
      <c r="E13" s="108">
        <f>IF($E$11=0,0,E12/$E$11)</f>
        <v>0</v>
      </c>
      <c r="F13" s="38"/>
      <c r="G13" s="15"/>
      <c r="H13" s="21" t="s">
        <v>85</v>
      </c>
      <c r="L13" s="122">
        <f>SUM(L8:L12)</f>
        <v>0</v>
      </c>
      <c r="M13" s="124">
        <f t="shared" si="0"/>
        <v>0</v>
      </c>
      <c r="N13" s="126">
        <f t="shared" si="1"/>
        <v>0</v>
      </c>
      <c r="O13" s="38"/>
    </row>
    <row r="14" spans="1:16" ht="18" customHeight="1" x14ac:dyDescent="0.3">
      <c r="A14" s="15"/>
      <c r="B14" s="444" t="s">
        <v>77</v>
      </c>
      <c r="E14" s="107"/>
      <c r="F14" s="38"/>
      <c r="G14" s="15"/>
      <c r="M14" s="12"/>
      <c r="N14" s="12"/>
      <c r="O14" s="38"/>
    </row>
    <row r="15" spans="1:16" ht="18" customHeight="1" x14ac:dyDescent="0.3">
      <c r="A15" s="15"/>
      <c r="B15" s="111" t="s">
        <v>63</v>
      </c>
      <c r="E15" s="108">
        <f>IF($E$11=0,0,E14/$E$11)</f>
        <v>0</v>
      </c>
      <c r="F15" s="44"/>
      <c r="G15" s="15"/>
      <c r="H15" s="21" t="s">
        <v>83</v>
      </c>
      <c r="L15" s="129" t="s">
        <v>5</v>
      </c>
      <c r="M15" s="187" t="s">
        <v>6</v>
      </c>
      <c r="N15" s="187" t="s">
        <v>128</v>
      </c>
      <c r="O15" s="38"/>
    </row>
    <row r="16" spans="1:16" ht="18" customHeight="1" x14ac:dyDescent="0.3">
      <c r="A16" s="15"/>
      <c r="B16" s="12" t="s">
        <v>81</v>
      </c>
      <c r="E16" s="107"/>
      <c r="F16" s="44"/>
      <c r="G16" s="15"/>
      <c r="H16" s="12" t="s">
        <v>76</v>
      </c>
      <c r="L16" s="259">
        <f>E12</f>
        <v>0</v>
      </c>
      <c r="M16" s="249">
        <f>IF($E$11=0,0,L16/$E$11)</f>
        <v>0</v>
      </c>
      <c r="N16" s="250">
        <f>IF($L$13=0,0,L16/$L$13)</f>
        <v>0</v>
      </c>
      <c r="O16" s="38"/>
    </row>
    <row r="17" spans="1:15" ht="18" customHeight="1" x14ac:dyDescent="0.3">
      <c r="A17" s="15"/>
      <c r="B17" s="509" t="s">
        <v>217</v>
      </c>
      <c r="E17" s="108">
        <f>F140</f>
        <v>0</v>
      </c>
      <c r="F17" s="38"/>
      <c r="G17" s="15"/>
      <c r="H17" s="12" t="s">
        <v>77</v>
      </c>
      <c r="L17" s="255">
        <f>E14</f>
        <v>0</v>
      </c>
      <c r="M17" s="252">
        <f>IF($E$11=0,0,L17/$E$11)</f>
        <v>0</v>
      </c>
      <c r="N17" s="253">
        <f>IF($L$13=0,0,L17/$L$13)</f>
        <v>0</v>
      </c>
      <c r="O17" s="38"/>
    </row>
    <row r="18" spans="1:15" ht="18" customHeight="1" x14ac:dyDescent="0.3">
      <c r="A18" s="15"/>
      <c r="B18" s="12" t="s">
        <v>65</v>
      </c>
      <c r="E18" s="199">
        <f>IF(E12=0,0,E17/E12)</f>
        <v>0</v>
      </c>
      <c r="F18" s="38"/>
      <c r="G18" s="15"/>
      <c r="H18" s="509" t="s">
        <v>218</v>
      </c>
      <c r="J18" s="209"/>
      <c r="L18" s="255">
        <f>$D$30/12*$J$18+$F$137/12*$J$18</f>
        <v>0</v>
      </c>
      <c r="M18" s="252">
        <f>IF($E$11=0,0,L18/$E$11)</f>
        <v>0</v>
      </c>
      <c r="N18" s="253">
        <f>IF($L$13=0,0,L18/$L$13)</f>
        <v>0</v>
      </c>
      <c r="O18" s="38"/>
    </row>
    <row r="19" spans="1:15" ht="18" customHeight="1" x14ac:dyDescent="0.3">
      <c r="A19" s="15"/>
      <c r="F19" s="38"/>
      <c r="G19" s="15"/>
      <c r="H19" s="509" t="s">
        <v>219</v>
      </c>
      <c r="I19" s="509"/>
      <c r="L19" s="251">
        <v>0</v>
      </c>
      <c r="M19" s="262">
        <f>IF($E$11=0,0,L19/$E$11)</f>
        <v>0</v>
      </c>
      <c r="N19" s="253">
        <f>IF($L$13=0,0,L19/$L$13)</f>
        <v>0</v>
      </c>
      <c r="O19" s="45"/>
    </row>
    <row r="20" spans="1:15" ht="18" customHeight="1" x14ac:dyDescent="0.3">
      <c r="A20" s="15"/>
      <c r="B20" s="21" t="s">
        <v>67</v>
      </c>
      <c r="F20" s="38"/>
      <c r="G20" s="15"/>
      <c r="H20" s="675"/>
      <c r="I20" s="676"/>
      <c r="L20" s="264">
        <v>0</v>
      </c>
      <c r="M20" s="263">
        <f>IF($E$11=0,0,L20/$E$11)</f>
        <v>0</v>
      </c>
      <c r="N20" s="258">
        <f>IF($L$13=0,0,L20/$L$13)</f>
        <v>0</v>
      </c>
      <c r="O20" s="45"/>
    </row>
    <row r="21" spans="1:15" ht="18" customHeight="1" x14ac:dyDescent="0.3">
      <c r="A21" s="15"/>
      <c r="B21" s="233" t="s">
        <v>111</v>
      </c>
      <c r="C21" s="234"/>
      <c r="D21" s="235">
        <v>0.9</v>
      </c>
      <c r="E21" s="236">
        <f>D21*E23</f>
        <v>0</v>
      </c>
      <c r="F21" s="38"/>
      <c r="G21" s="15"/>
      <c r="H21" s="71" t="s">
        <v>87</v>
      </c>
      <c r="L21" s="23"/>
      <c r="M21" s="132"/>
      <c r="N21" s="132"/>
      <c r="O21" s="48"/>
    </row>
    <row r="22" spans="1:15" ht="18" customHeight="1" x14ac:dyDescent="0.3">
      <c r="A22" s="15"/>
      <c r="B22" s="237" t="s">
        <v>66</v>
      </c>
      <c r="C22" s="238"/>
      <c r="D22" s="239">
        <f>D23-D21</f>
        <v>9.9999999999999978E-2</v>
      </c>
      <c r="E22" s="240">
        <f>E23-E21</f>
        <v>0</v>
      </c>
      <c r="F22" s="38"/>
      <c r="G22" s="15"/>
      <c r="H22" s="111" t="s">
        <v>90</v>
      </c>
      <c r="K22" s="265">
        <v>0</v>
      </c>
      <c r="L22" s="46"/>
      <c r="M22" s="12"/>
      <c r="N22" s="47"/>
      <c r="O22" s="48"/>
    </row>
    <row r="23" spans="1:15" ht="18" customHeight="1" x14ac:dyDescent="0.3">
      <c r="A23" s="15"/>
      <c r="B23" s="116" t="s">
        <v>68</v>
      </c>
      <c r="C23" s="119"/>
      <c r="D23" s="120">
        <v>1</v>
      </c>
      <c r="E23" s="113">
        <f>L35-SUM(L8:L10)</f>
        <v>0</v>
      </c>
      <c r="F23" s="44"/>
      <c r="G23" s="15"/>
      <c r="H23" s="526" t="s">
        <v>216</v>
      </c>
      <c r="K23" s="260">
        <v>0</v>
      </c>
      <c r="L23" s="46"/>
      <c r="M23" s="12"/>
      <c r="N23" s="47"/>
      <c r="O23" s="50"/>
    </row>
    <row r="24" spans="1:15" ht="18" customHeight="1" x14ac:dyDescent="0.3">
      <c r="A24" s="15"/>
      <c r="F24" s="38"/>
      <c r="G24" s="15"/>
      <c r="H24" s="111" t="s">
        <v>89</v>
      </c>
      <c r="K24" s="266">
        <f>IF(M24="",$F$134/2,IF(M24&gt;0,M24,IF(M24=0,0)))</f>
        <v>0</v>
      </c>
      <c r="L24" s="49"/>
      <c r="M24" s="265"/>
      <c r="N24" s="128" t="s">
        <v>95</v>
      </c>
      <c r="O24" s="38"/>
    </row>
    <row r="25" spans="1:15" ht="18" customHeight="1" x14ac:dyDescent="0.3">
      <c r="A25" s="15"/>
      <c r="B25" s="112" t="s">
        <v>2</v>
      </c>
      <c r="C25" s="157"/>
      <c r="D25" s="157"/>
      <c r="E25" s="157"/>
      <c r="F25" s="52"/>
      <c r="G25" s="15"/>
      <c r="H25" s="111" t="s">
        <v>91</v>
      </c>
      <c r="K25" s="266">
        <f>IF(M25="",$F$135,IF(M25&gt;0,M25,IF(M25=0,0)))</f>
        <v>0</v>
      </c>
      <c r="L25" s="23"/>
      <c r="M25" s="261"/>
      <c r="N25" s="12" t="s">
        <v>95</v>
      </c>
      <c r="O25" s="133"/>
    </row>
    <row r="26" spans="1:15" ht="18" customHeight="1" x14ac:dyDescent="0.3">
      <c r="A26" s="15"/>
      <c r="B26" s="14" t="s">
        <v>23</v>
      </c>
      <c r="C26" s="14"/>
      <c r="D26" s="191"/>
      <c r="E26" s="14" t="s">
        <v>101</v>
      </c>
      <c r="F26" s="52"/>
      <c r="G26" s="15"/>
      <c r="H26" s="505" t="s">
        <v>213</v>
      </c>
      <c r="K26" s="260">
        <v>0</v>
      </c>
      <c r="L26" s="46"/>
      <c r="M26" s="51"/>
      <c r="O26" s="135"/>
    </row>
    <row r="27" spans="1:15" ht="18" customHeight="1" x14ac:dyDescent="0.3">
      <c r="A27" s="15"/>
      <c r="B27" s="14" t="s">
        <v>70</v>
      </c>
      <c r="C27" s="14"/>
      <c r="D27" s="110">
        <v>10</v>
      </c>
      <c r="E27" s="14" t="s">
        <v>99</v>
      </c>
      <c r="F27" s="52"/>
      <c r="G27" s="15"/>
      <c r="H27" s="111" t="s">
        <v>96</v>
      </c>
      <c r="J27" s="267">
        <v>0.01</v>
      </c>
      <c r="K27" s="266">
        <f>IF(M27="",ROUND(J27*$L$8,-1),IF(M27&gt;0,M27,IF(M27=0,0)))</f>
        <v>0</v>
      </c>
      <c r="M27" s="265"/>
      <c r="N27" s="128" t="s">
        <v>95</v>
      </c>
      <c r="O27" s="38"/>
    </row>
    <row r="28" spans="1:15" ht="18" customHeight="1" x14ac:dyDescent="0.3">
      <c r="A28" s="15"/>
      <c r="B28" s="14" t="s">
        <v>100</v>
      </c>
      <c r="C28" s="14"/>
      <c r="D28" s="106"/>
      <c r="E28" s="14" t="s">
        <v>99</v>
      </c>
      <c r="F28" s="52"/>
      <c r="G28" s="15"/>
      <c r="H28" s="121" t="s">
        <v>97</v>
      </c>
      <c r="I28" s="134"/>
      <c r="J28" s="268">
        <v>5.0000000000000001E-3</v>
      </c>
      <c r="K28" s="266">
        <f>IF(M28="",ROUND(J28*$L$8,-1),IF(M28&gt;0,M28,IF(M28=0,0)))</f>
        <v>0</v>
      </c>
      <c r="M28" s="260"/>
      <c r="N28" s="12" t="s">
        <v>95</v>
      </c>
      <c r="O28" s="38"/>
    </row>
    <row r="29" spans="1:15" ht="18" customHeight="1" x14ac:dyDescent="0.3">
      <c r="A29" s="15"/>
      <c r="B29" s="14" t="s">
        <v>69</v>
      </c>
      <c r="C29" s="14"/>
      <c r="D29" s="106"/>
      <c r="E29" s="14" t="s">
        <v>99</v>
      </c>
      <c r="G29" s="15"/>
      <c r="H29" s="111" t="s">
        <v>105</v>
      </c>
      <c r="J29" s="268">
        <v>0.01</v>
      </c>
      <c r="K29" s="266">
        <f>IF(M29="",J29*$L$16,IF(M29&gt;0,M29,IF(M29=0,0)))</f>
        <v>0</v>
      </c>
      <c r="M29" s="260"/>
      <c r="N29" s="128" t="s">
        <v>95</v>
      </c>
      <c r="O29" s="38"/>
    </row>
    <row r="30" spans="1:15" ht="18" customHeight="1" x14ac:dyDescent="0.3">
      <c r="A30" s="15"/>
      <c r="B30" s="14" t="s">
        <v>73</v>
      </c>
      <c r="C30" s="14"/>
      <c r="D30" s="156">
        <f>IF(D29="",0,-PMT(D26/12,(D29*12),L8,0)*12)</f>
        <v>0</v>
      </c>
      <c r="E30" s="12" t="s">
        <v>102</v>
      </c>
      <c r="F30" s="38"/>
      <c r="G30" s="15"/>
      <c r="H30" s="111" t="s">
        <v>98</v>
      </c>
      <c r="J30" s="269">
        <v>1.4999999999999999E-2</v>
      </c>
      <c r="K30" s="266">
        <f>IF(M30="",J30*$L$16,IF(M30&gt;0,M30,IF(M30=0,0)))</f>
        <v>0</v>
      </c>
      <c r="M30" s="261"/>
      <c r="N30" s="12" t="s">
        <v>95</v>
      </c>
      <c r="O30" s="38"/>
    </row>
    <row r="31" spans="1:15" ht="18" customHeight="1" x14ac:dyDescent="0.3">
      <c r="A31" s="15"/>
      <c r="B31" s="661" t="s">
        <v>78</v>
      </c>
      <c r="C31" s="270" t="s">
        <v>74</v>
      </c>
      <c r="D31" s="271">
        <v>0.8</v>
      </c>
      <c r="E31" s="272">
        <f>D31*E16</f>
        <v>0</v>
      </c>
      <c r="F31" s="54"/>
      <c r="G31" s="15"/>
      <c r="H31" s="675"/>
      <c r="I31" s="676"/>
      <c r="K31" s="260">
        <v>0</v>
      </c>
      <c r="M31" s="12"/>
      <c r="N31" s="12"/>
      <c r="O31" s="53"/>
    </row>
    <row r="32" spans="1:15" ht="18" customHeight="1" x14ac:dyDescent="0.3">
      <c r="A32" s="15"/>
      <c r="B32" s="662"/>
      <c r="C32" s="273" t="s">
        <v>79</v>
      </c>
      <c r="D32" s="274">
        <v>0.8</v>
      </c>
      <c r="E32" s="275">
        <f>D32*E12</f>
        <v>0</v>
      </c>
      <c r="F32" s="55"/>
      <c r="G32" s="15"/>
      <c r="H32" s="675"/>
      <c r="I32" s="676"/>
      <c r="K32" s="260">
        <f>5%*L17</f>
        <v>0</v>
      </c>
      <c r="M32" s="12"/>
      <c r="N32" s="12"/>
      <c r="O32" s="53"/>
    </row>
    <row r="33" spans="1:20" ht="18" customHeight="1" x14ac:dyDescent="0.3">
      <c r="A33" s="15"/>
      <c r="B33" s="662"/>
      <c r="C33" s="276" t="s">
        <v>7</v>
      </c>
      <c r="D33" s="445">
        <v>1.25</v>
      </c>
      <c r="E33" s="277">
        <f>-PV(D26/12,D29*12,E17/12/D33)</f>
        <v>0</v>
      </c>
      <c r="F33" s="38"/>
      <c r="G33" s="15"/>
      <c r="H33" s="111" t="s">
        <v>92</v>
      </c>
      <c r="K33" s="261">
        <v>0</v>
      </c>
      <c r="L33" s="23"/>
      <c r="N33" s="12"/>
      <c r="O33" s="38"/>
    </row>
    <row r="34" spans="1:20" ht="18" customHeight="1" x14ac:dyDescent="0.3">
      <c r="A34" s="15"/>
      <c r="B34" s="662"/>
      <c r="C34" s="660" t="s">
        <v>80</v>
      </c>
      <c r="D34" s="660"/>
      <c r="E34" s="113">
        <f>IF(OR(E31&lt;0,E32&lt;0,E33&lt;0),0,ROUNDDOWN(MIN(E31,E33),-3))</f>
        <v>0</v>
      </c>
      <c r="F34" s="38"/>
      <c r="G34" s="15"/>
      <c r="H34" s="111" t="s">
        <v>93</v>
      </c>
      <c r="L34" s="114">
        <f>SUM(K22:K33)</f>
        <v>0</v>
      </c>
      <c r="M34" s="123">
        <f>IF($E$11=0,0,L34/$E$11)</f>
        <v>0</v>
      </c>
      <c r="N34" s="125">
        <f>IF($L$13=0,0,L34/$L$13)</f>
        <v>0</v>
      </c>
      <c r="O34" s="38"/>
    </row>
    <row r="35" spans="1:20" ht="18" customHeight="1" x14ac:dyDescent="0.3">
      <c r="A35" s="15"/>
      <c r="B35" s="663"/>
      <c r="C35" s="660" t="s">
        <v>94</v>
      </c>
      <c r="D35" s="660"/>
      <c r="E35" s="127"/>
      <c r="F35" s="38"/>
      <c r="G35" s="37"/>
      <c r="H35" s="21" t="s">
        <v>88</v>
      </c>
      <c r="I35" s="21"/>
      <c r="J35" s="21"/>
      <c r="L35" s="122">
        <f>SUM(L16:L34)</f>
        <v>0</v>
      </c>
      <c r="M35" s="124">
        <f>IF($E$11=0,0,L35/$E$11)</f>
        <v>0</v>
      </c>
      <c r="N35" s="126">
        <f>IF($L$13=0,0,L35/$L$13)</f>
        <v>0</v>
      </c>
      <c r="O35" s="38"/>
    </row>
    <row r="36" spans="1:20" ht="18" customHeight="1" x14ac:dyDescent="0.3">
      <c r="A36" s="20"/>
      <c r="B36" s="30"/>
      <c r="C36" s="30"/>
      <c r="D36" s="30"/>
      <c r="E36" s="30"/>
      <c r="F36" s="115"/>
      <c r="G36" s="20"/>
      <c r="H36" s="30"/>
      <c r="I36" s="30"/>
      <c r="J36" s="30"/>
      <c r="K36" s="30"/>
      <c r="L36" s="32"/>
      <c r="M36" s="136"/>
      <c r="N36" s="19"/>
      <c r="O36" s="56"/>
      <c r="P36" s="14"/>
    </row>
    <row r="37" spans="1:20" ht="18" customHeight="1" x14ac:dyDescent="0.3">
      <c r="A37" s="70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57"/>
      <c r="Q37" s="14"/>
      <c r="R37" s="14"/>
      <c r="S37" s="14"/>
      <c r="T37" s="14"/>
    </row>
    <row r="38" spans="1:20" ht="23.4" x14ac:dyDescent="0.45">
      <c r="A38" s="665" t="s">
        <v>119</v>
      </c>
      <c r="B38" s="666"/>
      <c r="C38" s="666"/>
      <c r="D38" s="666"/>
      <c r="E38" s="666"/>
      <c r="F38" s="666"/>
      <c r="G38" s="666"/>
      <c r="H38" s="666"/>
      <c r="I38" s="666"/>
      <c r="J38" s="666"/>
      <c r="K38" s="666"/>
      <c r="L38" s="666"/>
      <c r="M38" s="666"/>
      <c r="N38" s="666"/>
      <c r="O38" s="667"/>
      <c r="P38" s="57"/>
      <c r="Q38" s="14"/>
      <c r="R38" s="14"/>
      <c r="S38" s="14"/>
      <c r="T38" s="14"/>
    </row>
    <row r="39" spans="1:20" ht="15.6" x14ac:dyDescent="0.3">
      <c r="A39" s="166"/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14"/>
      <c r="R39" s="14"/>
      <c r="S39" s="14"/>
      <c r="T39" s="14"/>
    </row>
    <row r="40" spans="1:20" ht="18" customHeight="1" x14ac:dyDescent="0.3">
      <c r="A40" s="162" t="s">
        <v>3</v>
      </c>
      <c r="B40" s="163"/>
      <c r="C40" s="163"/>
      <c r="D40" s="164"/>
      <c r="E40" s="164"/>
      <c r="F40" s="174">
        <v>1</v>
      </c>
      <c r="G40" s="175">
        <v>2</v>
      </c>
      <c r="H40" s="175">
        <v>3</v>
      </c>
      <c r="I40" s="175">
        <v>4</v>
      </c>
      <c r="J40" s="175">
        <v>5</v>
      </c>
      <c r="K40" s="175">
        <v>6</v>
      </c>
      <c r="L40" s="175">
        <v>7</v>
      </c>
      <c r="M40" s="175">
        <v>8</v>
      </c>
      <c r="N40" s="175">
        <v>9</v>
      </c>
      <c r="O40" s="176">
        <v>10</v>
      </c>
      <c r="P40" s="58">
        <v>11</v>
      </c>
      <c r="Q40" s="58">
        <v>12</v>
      </c>
    </row>
    <row r="41" spans="1:20" ht="18" customHeight="1" x14ac:dyDescent="0.3">
      <c r="A41" s="137"/>
      <c r="B41" s="14"/>
      <c r="C41" s="14"/>
      <c r="D41" s="14"/>
      <c r="E41" s="14"/>
      <c r="F41" s="59"/>
      <c r="G41" s="60"/>
      <c r="H41" s="60"/>
      <c r="I41" s="60"/>
      <c r="J41" s="60"/>
      <c r="K41" s="60"/>
      <c r="L41" s="60"/>
      <c r="M41" s="60"/>
      <c r="N41" s="60"/>
      <c r="O41" s="60"/>
      <c r="P41" s="61" t="e">
        <f t="shared" ref="P41" si="2">(P42-O42)/O42</f>
        <v>#DIV/0!</v>
      </c>
      <c r="Q41" s="61"/>
    </row>
    <row r="42" spans="1:20" ht="18" customHeight="1" x14ac:dyDescent="0.3">
      <c r="A42" s="140" t="s">
        <v>115</v>
      </c>
      <c r="B42" s="141"/>
      <c r="C42" s="141"/>
      <c r="D42" s="141"/>
      <c r="E42" s="142" t="s">
        <v>4</v>
      </c>
      <c r="F42" s="293">
        <f t="shared" ref="F42:O42" si="3">F120</f>
        <v>0</v>
      </c>
      <c r="G42" s="294">
        <f t="shared" si="3"/>
        <v>0</v>
      </c>
      <c r="H42" s="294">
        <f t="shared" si="3"/>
        <v>0</v>
      </c>
      <c r="I42" s="294">
        <f t="shared" si="3"/>
        <v>0</v>
      </c>
      <c r="J42" s="294">
        <f t="shared" si="3"/>
        <v>0</v>
      </c>
      <c r="K42" s="294">
        <f t="shared" si="3"/>
        <v>0</v>
      </c>
      <c r="L42" s="294">
        <f t="shared" si="3"/>
        <v>0</v>
      </c>
      <c r="M42" s="294">
        <f t="shared" si="3"/>
        <v>0</v>
      </c>
      <c r="N42" s="294">
        <f t="shared" si="3"/>
        <v>0</v>
      </c>
      <c r="O42" s="295">
        <f t="shared" si="3"/>
        <v>0</v>
      </c>
      <c r="P42" s="22">
        <f t="shared" ref="P42:Q42" si="4">R142</f>
        <v>0</v>
      </c>
      <c r="Q42" s="22">
        <f t="shared" si="4"/>
        <v>0</v>
      </c>
    </row>
    <row r="43" spans="1:20" ht="18" customHeight="1" x14ac:dyDescent="0.3">
      <c r="A43" s="143" t="s">
        <v>116</v>
      </c>
      <c r="B43" s="144"/>
      <c r="C43" s="144"/>
      <c r="D43" s="144"/>
      <c r="E43" s="144"/>
      <c r="F43" s="286">
        <f t="shared" ref="F43:O43" si="5">-F137</f>
        <v>0</v>
      </c>
      <c r="G43" s="287">
        <f t="shared" si="5"/>
        <v>0</v>
      </c>
      <c r="H43" s="287">
        <f t="shared" si="5"/>
        <v>0</v>
      </c>
      <c r="I43" s="287">
        <f t="shared" si="5"/>
        <v>0</v>
      </c>
      <c r="J43" s="287">
        <f t="shared" si="5"/>
        <v>0</v>
      </c>
      <c r="K43" s="287">
        <f t="shared" si="5"/>
        <v>0</v>
      </c>
      <c r="L43" s="287">
        <f t="shared" si="5"/>
        <v>0</v>
      </c>
      <c r="M43" s="287">
        <f t="shared" si="5"/>
        <v>0</v>
      </c>
      <c r="N43" s="287">
        <f t="shared" si="5"/>
        <v>0</v>
      </c>
      <c r="O43" s="288">
        <f t="shared" si="5"/>
        <v>0</v>
      </c>
      <c r="P43" s="62">
        <f t="shared" ref="P43:Q43" si="6">-R157</f>
        <v>0</v>
      </c>
      <c r="Q43" s="62">
        <f t="shared" si="6"/>
        <v>0</v>
      </c>
    </row>
    <row r="44" spans="1:20" ht="18" customHeight="1" x14ac:dyDescent="0.3">
      <c r="A44" s="552" t="s">
        <v>103</v>
      </c>
      <c r="B44" s="138"/>
      <c r="C44" s="138"/>
      <c r="D44" s="139"/>
      <c r="E44" s="139"/>
      <c r="F44" s="554">
        <f t="shared" ref="F44:O44" si="7">F140</f>
        <v>0</v>
      </c>
      <c r="G44" s="555">
        <f t="shared" si="7"/>
        <v>0</v>
      </c>
      <c r="H44" s="555">
        <f t="shared" si="7"/>
        <v>0</v>
      </c>
      <c r="I44" s="555">
        <f t="shared" si="7"/>
        <v>0</v>
      </c>
      <c r="J44" s="555">
        <f t="shared" si="7"/>
        <v>0</v>
      </c>
      <c r="K44" s="555">
        <f t="shared" si="7"/>
        <v>0</v>
      </c>
      <c r="L44" s="555">
        <f t="shared" si="7"/>
        <v>0</v>
      </c>
      <c r="M44" s="555">
        <f t="shared" si="7"/>
        <v>0</v>
      </c>
      <c r="N44" s="555">
        <f t="shared" si="7"/>
        <v>0</v>
      </c>
      <c r="O44" s="556">
        <f t="shared" si="7"/>
        <v>0</v>
      </c>
      <c r="P44" s="22"/>
      <c r="Q44" s="22"/>
    </row>
    <row r="45" spans="1:20" ht="18" customHeight="1" x14ac:dyDescent="0.3">
      <c r="A45" s="167"/>
      <c r="M45" s="12"/>
      <c r="N45" s="12"/>
      <c r="P45" s="22">
        <f t="shared" ref="P45:Q45" si="8">R159</f>
        <v>0</v>
      </c>
      <c r="Q45" s="22">
        <f t="shared" si="8"/>
        <v>0</v>
      </c>
    </row>
    <row r="46" spans="1:20" ht="18" customHeight="1" x14ac:dyDescent="0.3">
      <c r="A46" s="148" t="s">
        <v>72</v>
      </c>
      <c r="B46" s="149"/>
      <c r="C46" s="149"/>
      <c r="D46" s="141"/>
      <c r="E46" s="141"/>
      <c r="F46" s="195">
        <f>IF(F47=0,0,F44/-F47)</f>
        <v>0</v>
      </c>
      <c r="G46" s="196">
        <f t="shared" ref="G46:O46" si="9">IF(G47=0,0,G44/-G47)</f>
        <v>0</v>
      </c>
      <c r="H46" s="196">
        <f t="shared" si="9"/>
        <v>0</v>
      </c>
      <c r="I46" s="196">
        <f t="shared" si="9"/>
        <v>0</v>
      </c>
      <c r="J46" s="196">
        <f t="shared" si="9"/>
        <v>0</v>
      </c>
      <c r="K46" s="196">
        <f t="shared" si="9"/>
        <v>0</v>
      </c>
      <c r="L46" s="196">
        <f t="shared" si="9"/>
        <v>0</v>
      </c>
      <c r="M46" s="196">
        <f t="shared" si="9"/>
        <v>0</v>
      </c>
      <c r="N46" s="196">
        <f t="shared" si="9"/>
        <v>0</v>
      </c>
      <c r="O46" s="197">
        <f t="shared" si="9"/>
        <v>0</v>
      </c>
      <c r="P46" s="63"/>
      <c r="Q46" s="63"/>
    </row>
    <row r="47" spans="1:20" ht="18" customHeight="1" x14ac:dyDescent="0.3">
      <c r="A47" s="118" t="s">
        <v>73</v>
      </c>
      <c r="B47" s="146"/>
      <c r="C47" s="146"/>
      <c r="D47" s="144"/>
      <c r="E47" s="144"/>
      <c r="F47" s="441">
        <f>-IF($D$28&gt;=F40,'First Mortgage'!$D$10,'First Mortgage'!$D$12)</f>
        <v>0</v>
      </c>
      <c r="G47" s="442">
        <f>-IF($D$28&gt;=G40,'First Mortgage'!$D$10,'First Mortgage'!$D$12)</f>
        <v>0</v>
      </c>
      <c r="H47" s="442">
        <f>-IF($D$28&gt;=H40,'First Mortgage'!$D$10,'First Mortgage'!$D$12)</f>
        <v>0</v>
      </c>
      <c r="I47" s="442">
        <f>-IF($D$28&gt;=I40,'First Mortgage'!$D$10,'First Mortgage'!$D$12)</f>
        <v>0</v>
      </c>
      <c r="J47" s="442">
        <f>-IF($D$28&gt;=J40,'First Mortgage'!$D$10,'First Mortgage'!$D$12)</f>
        <v>0</v>
      </c>
      <c r="K47" s="442">
        <f>-IF($D$28&gt;=K40,'First Mortgage'!$D$10,'First Mortgage'!$D$12)</f>
        <v>0</v>
      </c>
      <c r="L47" s="442">
        <f>-IF($D$28&gt;=L40,'First Mortgage'!$D$10,'First Mortgage'!$D$12)</f>
        <v>0</v>
      </c>
      <c r="M47" s="442">
        <f>-IF($D$28&gt;=M40,'First Mortgage'!$D$10,'First Mortgage'!$D$12)</f>
        <v>0</v>
      </c>
      <c r="N47" s="442">
        <f>-IF($D$28&gt;=N40,'First Mortgage'!$D$10,'First Mortgage'!$D$12)</f>
        <v>0</v>
      </c>
      <c r="O47" s="443">
        <f>-IF($D$28&gt;=O40,'First Mortgage'!$D$10,'First Mortgage'!$D$12)</f>
        <v>0</v>
      </c>
      <c r="P47" s="64">
        <f>-$D$30</f>
        <v>0</v>
      </c>
      <c r="Q47" s="64">
        <f>-$D$30</f>
        <v>0</v>
      </c>
    </row>
    <row r="48" spans="1:20" ht="18" customHeight="1" x14ac:dyDescent="0.3">
      <c r="A48" s="553" t="s">
        <v>104</v>
      </c>
      <c r="B48" s="150"/>
      <c r="C48" s="150"/>
      <c r="D48" s="139"/>
      <c r="E48" s="139"/>
      <c r="F48" s="554">
        <f>SUM(F44,F47)</f>
        <v>0</v>
      </c>
      <c r="G48" s="555">
        <f t="shared" ref="G48:O48" si="10">SUM(G44,G47)</f>
        <v>0</v>
      </c>
      <c r="H48" s="555">
        <f t="shared" si="10"/>
        <v>0</v>
      </c>
      <c r="I48" s="555">
        <f t="shared" si="10"/>
        <v>0</v>
      </c>
      <c r="J48" s="555">
        <f t="shared" si="10"/>
        <v>0</v>
      </c>
      <c r="K48" s="555">
        <f t="shared" si="10"/>
        <v>0</v>
      </c>
      <c r="L48" s="555">
        <f t="shared" si="10"/>
        <v>0</v>
      </c>
      <c r="M48" s="555">
        <f t="shared" si="10"/>
        <v>0</v>
      </c>
      <c r="N48" s="555">
        <f t="shared" si="10"/>
        <v>0</v>
      </c>
      <c r="O48" s="556">
        <f t="shared" si="10"/>
        <v>0</v>
      </c>
      <c r="P48" s="22">
        <f>P45+P47</f>
        <v>0</v>
      </c>
      <c r="Q48" s="22">
        <f>Q45+Q47</f>
        <v>0</v>
      </c>
    </row>
    <row r="49" spans="1:19" ht="18" customHeight="1" x14ac:dyDescent="0.3">
      <c r="A49" s="167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22"/>
      <c r="Q49" s="22"/>
    </row>
    <row r="50" spans="1:19" ht="18" customHeight="1" x14ac:dyDescent="0.3">
      <c r="A50" s="117" t="s">
        <v>104</v>
      </c>
      <c r="B50" s="145"/>
      <c r="C50" s="145"/>
      <c r="D50" s="145"/>
      <c r="E50" s="145"/>
      <c r="F50" s="293">
        <f>F48</f>
        <v>0</v>
      </c>
      <c r="G50" s="294">
        <f t="shared" ref="G50:O50" si="11">G48</f>
        <v>0</v>
      </c>
      <c r="H50" s="294">
        <f t="shared" si="11"/>
        <v>0</v>
      </c>
      <c r="I50" s="294">
        <f t="shared" si="11"/>
        <v>0</v>
      </c>
      <c r="J50" s="294">
        <f t="shared" si="11"/>
        <v>0</v>
      </c>
      <c r="K50" s="294">
        <f t="shared" si="11"/>
        <v>0</v>
      </c>
      <c r="L50" s="294">
        <f t="shared" si="11"/>
        <v>0</v>
      </c>
      <c r="M50" s="294">
        <f t="shared" si="11"/>
        <v>0</v>
      </c>
      <c r="N50" s="294">
        <f t="shared" si="11"/>
        <v>0</v>
      </c>
      <c r="O50" s="295">
        <f t="shared" si="11"/>
        <v>0</v>
      </c>
    </row>
    <row r="51" spans="1:19" ht="18" customHeight="1" x14ac:dyDescent="0.3">
      <c r="A51" s="118" t="s">
        <v>117</v>
      </c>
      <c r="B51" s="146"/>
      <c r="C51" s="147">
        <f>D22</f>
        <v>9.9999999999999978E-2</v>
      </c>
      <c r="D51" s="146"/>
      <c r="E51" s="144"/>
      <c r="F51" s="286">
        <f>F50-F52</f>
        <v>0</v>
      </c>
      <c r="G51" s="287">
        <f t="shared" ref="G51:O51" si="12">G50-G52</f>
        <v>0</v>
      </c>
      <c r="H51" s="287">
        <f t="shared" si="12"/>
        <v>0</v>
      </c>
      <c r="I51" s="287">
        <f t="shared" si="12"/>
        <v>0</v>
      </c>
      <c r="J51" s="287">
        <f t="shared" si="12"/>
        <v>0</v>
      </c>
      <c r="K51" s="287">
        <f t="shared" si="12"/>
        <v>0</v>
      </c>
      <c r="L51" s="287">
        <f t="shared" si="12"/>
        <v>0</v>
      </c>
      <c r="M51" s="287">
        <f t="shared" si="12"/>
        <v>0</v>
      </c>
      <c r="N51" s="287">
        <f t="shared" si="12"/>
        <v>0</v>
      </c>
      <c r="O51" s="288">
        <f t="shared" si="12"/>
        <v>0</v>
      </c>
      <c r="P51" s="66">
        <f>$C$51*P48</f>
        <v>0</v>
      </c>
      <c r="Q51" s="66">
        <f>$C$51*Q48</f>
        <v>0</v>
      </c>
    </row>
    <row r="52" spans="1:19" ht="18" customHeight="1" x14ac:dyDescent="0.3">
      <c r="A52" s="553" t="s">
        <v>118</v>
      </c>
      <c r="B52" s="150"/>
      <c r="C52" s="560">
        <f>D21</f>
        <v>0.9</v>
      </c>
      <c r="D52" s="150"/>
      <c r="E52" s="139"/>
      <c r="F52" s="557">
        <f>$C$52*F50</f>
        <v>0</v>
      </c>
      <c r="G52" s="558">
        <f t="shared" ref="G52:O52" si="13">$C$52*G50</f>
        <v>0</v>
      </c>
      <c r="H52" s="558">
        <f t="shared" si="13"/>
        <v>0</v>
      </c>
      <c r="I52" s="558">
        <f t="shared" si="13"/>
        <v>0</v>
      </c>
      <c r="J52" s="558">
        <f t="shared" si="13"/>
        <v>0</v>
      </c>
      <c r="K52" s="558">
        <f t="shared" si="13"/>
        <v>0</v>
      </c>
      <c r="L52" s="558">
        <f t="shared" si="13"/>
        <v>0</v>
      </c>
      <c r="M52" s="558">
        <f t="shared" si="13"/>
        <v>0</v>
      </c>
      <c r="N52" s="558">
        <f t="shared" si="13"/>
        <v>0</v>
      </c>
      <c r="O52" s="559">
        <f t="shared" si="13"/>
        <v>0</v>
      </c>
      <c r="P52" s="66">
        <f>$C$52*P48</f>
        <v>0</v>
      </c>
      <c r="Q52" s="66">
        <f>$C$52*Q48</f>
        <v>0</v>
      </c>
    </row>
    <row r="53" spans="1:19" ht="18" customHeight="1" x14ac:dyDescent="0.3">
      <c r="A53" s="167"/>
      <c r="D53" s="67"/>
      <c r="E53" s="14"/>
      <c r="F53" s="65"/>
      <c r="G53" s="65"/>
      <c r="H53" s="65"/>
      <c r="I53" s="65"/>
      <c r="J53" s="65"/>
      <c r="K53" s="65"/>
      <c r="L53" s="65"/>
      <c r="M53" s="65"/>
      <c r="N53" s="65"/>
      <c r="O53" s="65"/>
      <c r="P53" s="66"/>
      <c r="Q53" s="66"/>
    </row>
    <row r="54" spans="1:19" ht="18" customHeight="1" x14ac:dyDescent="0.3">
      <c r="A54" s="117" t="s">
        <v>108</v>
      </c>
      <c r="B54" s="145"/>
      <c r="C54" s="191">
        <v>5.2499999999999998E-2</v>
      </c>
      <c r="D54" s="671" t="s">
        <v>110</v>
      </c>
      <c r="E54" s="672"/>
      <c r="F54" s="171"/>
      <c r="G54" s="172"/>
      <c r="H54" s="172"/>
      <c r="I54" s="172"/>
      <c r="J54" s="172"/>
      <c r="K54" s="172"/>
      <c r="L54" s="172"/>
      <c r="M54" s="172"/>
      <c r="N54" s="172"/>
      <c r="O54" s="173"/>
      <c r="P54" s="66"/>
      <c r="Q54" s="66"/>
    </row>
    <row r="55" spans="1:19" ht="18" customHeight="1" x14ac:dyDescent="0.3">
      <c r="A55" s="153" t="s">
        <v>106</v>
      </c>
      <c r="B55" s="154"/>
      <c r="C55" s="154"/>
      <c r="D55" s="154"/>
      <c r="E55" s="154"/>
      <c r="F55" s="296">
        <f t="shared" ref="F55:O55" si="14">IF($L$11=0,0,F52/$L$11)</f>
        <v>0</v>
      </c>
      <c r="G55" s="297">
        <f t="shared" si="14"/>
        <v>0</v>
      </c>
      <c r="H55" s="297">
        <f t="shared" si="14"/>
        <v>0</v>
      </c>
      <c r="I55" s="297">
        <f t="shared" si="14"/>
        <v>0</v>
      </c>
      <c r="J55" s="297">
        <f t="shared" si="14"/>
        <v>0</v>
      </c>
      <c r="K55" s="297">
        <f t="shared" si="14"/>
        <v>0</v>
      </c>
      <c r="L55" s="297">
        <f t="shared" si="14"/>
        <v>0</v>
      </c>
      <c r="M55" s="297">
        <f t="shared" si="14"/>
        <v>0</v>
      </c>
      <c r="N55" s="297">
        <f t="shared" si="14"/>
        <v>0</v>
      </c>
      <c r="O55" s="194">
        <f t="shared" si="14"/>
        <v>0</v>
      </c>
      <c r="P55" s="68"/>
      <c r="Q55" s="69"/>
    </row>
    <row r="56" spans="1:19" ht="18" customHeight="1" x14ac:dyDescent="0.3">
      <c r="A56" s="561" t="s">
        <v>107</v>
      </c>
      <c r="B56" s="562"/>
      <c r="C56" s="562"/>
      <c r="D56" s="562"/>
      <c r="E56" s="562"/>
      <c r="F56" s="563">
        <f>F55</f>
        <v>0</v>
      </c>
      <c r="G56" s="564">
        <f>IF($L$11=0,0,SUM($F$52:G52)/G40/$L$11)</f>
        <v>0</v>
      </c>
      <c r="H56" s="564">
        <f>IF($L$11=0,0,SUM($F$52:H52)/H40/$L$11)</f>
        <v>0</v>
      </c>
      <c r="I56" s="564">
        <f>IF($L$11=0,0,SUM($F$52:I52)/I40/$L$11)</f>
        <v>0</v>
      </c>
      <c r="J56" s="564">
        <f>IF($L$11=0,0,SUM($F$52:J52)/J40/$L$11)</f>
        <v>0</v>
      </c>
      <c r="K56" s="564">
        <f>IF($L$11=0,0,SUM($F$52:K52)/K40/$L$11)</f>
        <v>0</v>
      </c>
      <c r="L56" s="564">
        <f>IF($L$11=0,0,SUM($F$52:L52)/L40/$L$11)</f>
        <v>0</v>
      </c>
      <c r="M56" s="564">
        <f>IF($L$11=0,0,SUM($F$52:M52)/M40/$L$11)</f>
        <v>0</v>
      </c>
      <c r="N56" s="565">
        <f>IF($L$11=0,0,SUM($F$52:N52)/N40/$L$11)</f>
        <v>0</v>
      </c>
      <c r="O56" s="192">
        <f>IF($L$11=0,0,SUM($F$52:O52)/O40/$L$11)</f>
        <v>0</v>
      </c>
    </row>
    <row r="57" spans="1:19" ht="18" customHeight="1" x14ac:dyDescent="0.3">
      <c r="A57" s="151"/>
      <c r="B57" s="152"/>
      <c r="C57" s="673" t="s">
        <v>109</v>
      </c>
      <c r="D57" s="674"/>
      <c r="E57" s="155"/>
      <c r="F57" s="155"/>
      <c r="G57" s="155"/>
      <c r="H57" s="155"/>
      <c r="I57" s="155"/>
      <c r="J57" s="155"/>
      <c r="K57" s="155"/>
      <c r="L57" s="155"/>
      <c r="M57" s="155"/>
      <c r="N57" s="685" t="s">
        <v>109</v>
      </c>
      <c r="O57" s="686"/>
    </row>
    <row r="58" spans="1:19" ht="18" customHeight="1" x14ac:dyDescent="0.3">
      <c r="A58" s="566" t="s">
        <v>114</v>
      </c>
      <c r="B58" s="567"/>
      <c r="C58" s="568"/>
      <c r="D58" s="193">
        <f>IF($L$11=0,0,IRR(E58:O58,5%))</f>
        <v>0</v>
      </c>
      <c r="E58" s="557">
        <f>-E21</f>
        <v>0</v>
      </c>
      <c r="F58" s="558">
        <f t="shared" ref="F58:N58" si="15">F52</f>
        <v>0</v>
      </c>
      <c r="G58" s="558">
        <f t="shared" si="15"/>
        <v>0</v>
      </c>
      <c r="H58" s="558">
        <f t="shared" si="15"/>
        <v>0</v>
      </c>
      <c r="I58" s="558">
        <f t="shared" si="15"/>
        <v>0</v>
      </c>
      <c r="J58" s="558">
        <f t="shared" si="15"/>
        <v>0</v>
      </c>
      <c r="K58" s="558">
        <f t="shared" si="15"/>
        <v>0</v>
      </c>
      <c r="L58" s="558">
        <f t="shared" si="15"/>
        <v>0</v>
      </c>
      <c r="M58" s="558">
        <f t="shared" si="15"/>
        <v>0</v>
      </c>
      <c r="N58" s="558">
        <f t="shared" si="15"/>
        <v>0</v>
      </c>
      <c r="O58" s="559">
        <f>O52+O65</f>
        <v>0</v>
      </c>
      <c r="P58" s="14"/>
      <c r="Q58" s="14"/>
      <c r="R58" s="14"/>
      <c r="S58" s="14"/>
    </row>
    <row r="59" spans="1:19" ht="18" customHeight="1" x14ac:dyDescent="0.3">
      <c r="A59" s="39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</row>
    <row r="60" spans="1:19" ht="18" customHeight="1" x14ac:dyDescent="0.3">
      <c r="A60" s="148" t="s">
        <v>13</v>
      </c>
      <c r="B60" s="24"/>
      <c r="C60" s="24"/>
      <c r="D60" s="145"/>
      <c r="E60" s="145"/>
      <c r="F60" s="278">
        <f>L11</f>
        <v>0</v>
      </c>
      <c r="G60" s="294">
        <f>F64</f>
        <v>0</v>
      </c>
      <c r="H60" s="294">
        <f t="shared" ref="H60:O60" si="16">G64</f>
        <v>0</v>
      </c>
      <c r="I60" s="294">
        <f t="shared" si="16"/>
        <v>0</v>
      </c>
      <c r="J60" s="294">
        <f t="shared" si="16"/>
        <v>0</v>
      </c>
      <c r="K60" s="294">
        <f t="shared" si="16"/>
        <v>0</v>
      </c>
      <c r="L60" s="294">
        <f t="shared" si="16"/>
        <v>0</v>
      </c>
      <c r="M60" s="294">
        <f t="shared" si="16"/>
        <v>0</v>
      </c>
      <c r="N60" s="294">
        <f t="shared" si="16"/>
        <v>0</v>
      </c>
      <c r="O60" s="295">
        <f t="shared" si="16"/>
        <v>0</v>
      </c>
      <c r="P60" s="14"/>
      <c r="R60" s="14"/>
      <c r="S60" s="14"/>
    </row>
    <row r="61" spans="1:19" ht="18" customHeight="1" x14ac:dyDescent="0.3">
      <c r="A61" s="158" t="s">
        <v>112</v>
      </c>
      <c r="B61" s="146"/>
      <c r="C61" s="146"/>
      <c r="D61" s="146"/>
      <c r="E61" s="146"/>
      <c r="F61" s="282">
        <f t="shared" ref="F61:O61" si="17">$C54*F60</f>
        <v>0</v>
      </c>
      <c r="G61" s="283">
        <f t="shared" si="17"/>
        <v>0</v>
      </c>
      <c r="H61" s="283">
        <f t="shared" si="17"/>
        <v>0</v>
      </c>
      <c r="I61" s="283">
        <f t="shared" si="17"/>
        <v>0</v>
      </c>
      <c r="J61" s="283">
        <f t="shared" si="17"/>
        <v>0</v>
      </c>
      <c r="K61" s="283">
        <f t="shared" si="17"/>
        <v>0</v>
      </c>
      <c r="L61" s="283">
        <f t="shared" si="17"/>
        <v>0</v>
      </c>
      <c r="M61" s="283">
        <f t="shared" si="17"/>
        <v>0</v>
      </c>
      <c r="N61" s="283">
        <f t="shared" si="17"/>
        <v>0</v>
      </c>
      <c r="O61" s="284">
        <f t="shared" si="17"/>
        <v>0</v>
      </c>
      <c r="P61" s="14"/>
      <c r="R61" s="14"/>
      <c r="S61" s="14"/>
    </row>
    <row r="62" spans="1:19" ht="18" customHeight="1" x14ac:dyDescent="0.3">
      <c r="A62" s="159" t="s">
        <v>118</v>
      </c>
      <c r="B62" s="72"/>
      <c r="C62" s="72"/>
      <c r="D62" s="160"/>
      <c r="E62" s="146"/>
      <c r="F62" s="298">
        <f t="shared" ref="F62:O62" si="18">F52</f>
        <v>0</v>
      </c>
      <c r="G62" s="299">
        <f t="shared" si="18"/>
        <v>0</v>
      </c>
      <c r="H62" s="299">
        <f t="shared" si="18"/>
        <v>0</v>
      </c>
      <c r="I62" s="299">
        <f t="shared" si="18"/>
        <v>0</v>
      </c>
      <c r="J62" s="299">
        <f t="shared" si="18"/>
        <v>0</v>
      </c>
      <c r="K62" s="299">
        <f t="shared" si="18"/>
        <v>0</v>
      </c>
      <c r="L62" s="299">
        <f t="shared" si="18"/>
        <v>0</v>
      </c>
      <c r="M62" s="299">
        <f t="shared" si="18"/>
        <v>0</v>
      </c>
      <c r="N62" s="299">
        <f t="shared" si="18"/>
        <v>0</v>
      </c>
      <c r="O62" s="300">
        <f t="shared" si="18"/>
        <v>0</v>
      </c>
      <c r="P62" s="14"/>
      <c r="R62" s="14"/>
      <c r="S62" s="14"/>
    </row>
    <row r="63" spans="1:19" ht="18" customHeight="1" x14ac:dyDescent="0.3">
      <c r="A63" s="159" t="s">
        <v>113</v>
      </c>
      <c r="B63" s="72"/>
      <c r="C63" s="72"/>
      <c r="D63" s="160"/>
      <c r="E63" s="146"/>
      <c r="F63" s="298">
        <f>F62-F61</f>
        <v>0</v>
      </c>
      <c r="G63" s="299">
        <f t="shared" ref="G63:O63" si="19">G62-G61</f>
        <v>0</v>
      </c>
      <c r="H63" s="299">
        <f t="shared" si="19"/>
        <v>0</v>
      </c>
      <c r="I63" s="299">
        <f t="shared" si="19"/>
        <v>0</v>
      </c>
      <c r="J63" s="299">
        <f t="shared" si="19"/>
        <v>0</v>
      </c>
      <c r="K63" s="299">
        <f t="shared" si="19"/>
        <v>0</v>
      </c>
      <c r="L63" s="299">
        <f t="shared" si="19"/>
        <v>0</v>
      </c>
      <c r="M63" s="299">
        <f t="shared" si="19"/>
        <v>0</v>
      </c>
      <c r="N63" s="299">
        <f t="shared" si="19"/>
        <v>0</v>
      </c>
      <c r="O63" s="300">
        <f t="shared" si="19"/>
        <v>0</v>
      </c>
      <c r="P63" s="14"/>
      <c r="R63" s="14"/>
      <c r="S63" s="14"/>
    </row>
    <row r="64" spans="1:19" ht="18" customHeight="1" x14ac:dyDescent="0.3">
      <c r="A64" s="159" t="s">
        <v>14</v>
      </c>
      <c r="B64" s="72"/>
      <c r="C64" s="72"/>
      <c r="D64" s="160"/>
      <c r="E64" s="146"/>
      <c r="F64" s="301">
        <f>F60-F63</f>
        <v>0</v>
      </c>
      <c r="G64" s="302">
        <f t="shared" ref="G64:O64" si="20">G60-G63</f>
        <v>0</v>
      </c>
      <c r="H64" s="302">
        <f t="shared" si="20"/>
        <v>0</v>
      </c>
      <c r="I64" s="302">
        <f t="shared" si="20"/>
        <v>0</v>
      </c>
      <c r="J64" s="302">
        <f t="shared" si="20"/>
        <v>0</v>
      </c>
      <c r="K64" s="302">
        <f t="shared" si="20"/>
        <v>0</v>
      </c>
      <c r="L64" s="302">
        <f t="shared" si="20"/>
        <v>0</v>
      </c>
      <c r="M64" s="302">
        <f t="shared" si="20"/>
        <v>0</v>
      </c>
      <c r="N64" s="302">
        <f t="shared" si="20"/>
        <v>0</v>
      </c>
      <c r="O64" s="303">
        <f t="shared" si="20"/>
        <v>0</v>
      </c>
      <c r="P64" s="14"/>
      <c r="R64" s="14"/>
      <c r="S64" s="14"/>
    </row>
    <row r="65" spans="1:19" ht="18" customHeight="1" x14ac:dyDescent="0.3">
      <c r="A65" s="553" t="s">
        <v>258</v>
      </c>
      <c r="B65" s="161"/>
      <c r="C65" s="161"/>
      <c r="D65" s="161"/>
      <c r="E65" s="161"/>
      <c r="F65" s="668" t="s">
        <v>257</v>
      </c>
      <c r="G65" s="669"/>
      <c r="H65" s="669"/>
      <c r="I65" s="669"/>
      <c r="J65" s="669"/>
      <c r="K65" s="669"/>
      <c r="L65" s="669"/>
      <c r="M65" s="669"/>
      <c r="N65" s="670"/>
      <c r="O65" s="559">
        <f>MAX(F60,O64)</f>
        <v>0</v>
      </c>
      <c r="P65" s="14"/>
      <c r="R65" s="14"/>
      <c r="S65" s="14"/>
    </row>
    <row r="66" spans="1:19" ht="18" customHeight="1" x14ac:dyDescent="0.3">
      <c r="A66" s="39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</row>
    <row r="67" spans="1:19" ht="23.4" x14ac:dyDescent="0.45">
      <c r="A67" s="665" t="s">
        <v>120</v>
      </c>
      <c r="B67" s="666"/>
      <c r="C67" s="666"/>
      <c r="D67" s="666"/>
      <c r="E67" s="666"/>
      <c r="F67" s="666"/>
      <c r="G67" s="666"/>
      <c r="H67" s="666"/>
      <c r="I67" s="666"/>
      <c r="J67" s="666"/>
      <c r="K67" s="666"/>
      <c r="L67" s="666"/>
      <c r="M67" s="666"/>
      <c r="N67" s="666"/>
      <c r="O67" s="667"/>
      <c r="P67" s="14"/>
      <c r="Q67" s="14"/>
      <c r="R67" s="14"/>
      <c r="S67" s="14"/>
    </row>
    <row r="68" spans="1:19" ht="18" customHeight="1" x14ac:dyDescent="0.3">
      <c r="A68" s="39"/>
      <c r="B68" s="39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</row>
    <row r="69" spans="1:19" ht="18" customHeight="1" x14ac:dyDescent="0.3">
      <c r="A69" s="336" t="s">
        <v>154</v>
      </c>
      <c r="B69" s="337"/>
      <c r="C69" s="682" t="s">
        <v>156</v>
      </c>
      <c r="D69" s="683"/>
      <c r="E69" s="683"/>
      <c r="F69" s="684"/>
      <c r="G69" s="682" t="s">
        <v>157</v>
      </c>
      <c r="H69" s="683"/>
      <c r="I69" s="683"/>
      <c r="J69" s="684"/>
      <c r="K69" s="687" t="s">
        <v>171</v>
      </c>
      <c r="L69" s="682" t="s">
        <v>158</v>
      </c>
      <c r="M69" s="683"/>
      <c r="N69" s="683"/>
      <c r="O69" s="684"/>
    </row>
    <row r="70" spans="1:19" ht="18" customHeight="1" x14ac:dyDescent="0.3">
      <c r="A70" s="338" t="s">
        <v>155</v>
      </c>
      <c r="B70" s="339"/>
      <c r="C70" s="201" t="s">
        <v>159</v>
      </c>
      <c r="D70" s="202" t="s">
        <v>160</v>
      </c>
      <c r="E70" s="202" t="s">
        <v>161</v>
      </c>
      <c r="F70" s="203" t="s">
        <v>162</v>
      </c>
      <c r="G70" s="204" t="s">
        <v>163</v>
      </c>
      <c r="H70" s="202" t="s">
        <v>164</v>
      </c>
      <c r="I70" s="202" t="s">
        <v>165</v>
      </c>
      <c r="J70" s="203" t="s">
        <v>166</v>
      </c>
      <c r="K70" s="688"/>
      <c r="L70" s="201" t="s">
        <v>167</v>
      </c>
      <c r="M70" s="202" t="s">
        <v>168</v>
      </c>
      <c r="N70" s="202" t="s">
        <v>169</v>
      </c>
      <c r="O70" s="203" t="s">
        <v>170</v>
      </c>
    </row>
    <row r="71" spans="1:19" ht="18" customHeight="1" x14ac:dyDescent="0.3">
      <c r="A71" s="340" t="s">
        <v>140</v>
      </c>
      <c r="B71" s="304"/>
      <c r="C71" s="341">
        <f t="shared" ref="C71:O71" si="21">$O$140</f>
        <v>0</v>
      </c>
      <c r="D71" s="342">
        <f t="shared" si="21"/>
        <v>0</v>
      </c>
      <c r="E71" s="342">
        <f t="shared" si="21"/>
        <v>0</v>
      </c>
      <c r="F71" s="343">
        <f t="shared" si="21"/>
        <v>0</v>
      </c>
      <c r="G71" s="344">
        <f t="shared" si="21"/>
        <v>0</v>
      </c>
      <c r="H71" s="342">
        <f t="shared" si="21"/>
        <v>0</v>
      </c>
      <c r="I71" s="342">
        <f t="shared" si="21"/>
        <v>0</v>
      </c>
      <c r="J71" s="343">
        <f t="shared" si="21"/>
        <v>0</v>
      </c>
      <c r="K71" s="345">
        <f t="shared" si="21"/>
        <v>0</v>
      </c>
      <c r="L71" s="341">
        <f t="shared" si="21"/>
        <v>0</v>
      </c>
      <c r="M71" s="342">
        <f t="shared" si="21"/>
        <v>0</v>
      </c>
      <c r="N71" s="342">
        <f t="shared" si="21"/>
        <v>0</v>
      </c>
      <c r="O71" s="343">
        <f t="shared" si="21"/>
        <v>0</v>
      </c>
    </row>
    <row r="72" spans="1:19" ht="18" customHeight="1" x14ac:dyDescent="0.3">
      <c r="A72" s="346" t="s">
        <v>139</v>
      </c>
      <c r="B72" s="308"/>
      <c r="C72" s="347">
        <f>K72-1%</f>
        <v>-0.01</v>
      </c>
      <c r="D72" s="348">
        <f>K72-0.5%</f>
        <v>-5.0000000000000001E-3</v>
      </c>
      <c r="E72" s="348">
        <f>K72+0.5%</f>
        <v>5.0000000000000001E-3</v>
      </c>
      <c r="F72" s="349">
        <f>K72+1%</f>
        <v>0.01</v>
      </c>
      <c r="G72" s="350">
        <f>$K$72</f>
        <v>0</v>
      </c>
      <c r="H72" s="348">
        <f>$K$72</f>
        <v>0</v>
      </c>
      <c r="I72" s="348">
        <f>$K$72</f>
        <v>0</v>
      </c>
      <c r="J72" s="349">
        <f>$K$72</f>
        <v>0</v>
      </c>
      <c r="K72" s="351">
        <f>$E$18</f>
        <v>0</v>
      </c>
      <c r="L72" s="347">
        <f>C72</f>
        <v>-0.01</v>
      </c>
      <c r="M72" s="348">
        <f>D72</f>
        <v>-5.0000000000000001E-3</v>
      </c>
      <c r="N72" s="348">
        <f>E72</f>
        <v>5.0000000000000001E-3</v>
      </c>
      <c r="O72" s="349">
        <f t="shared" ref="O72" si="22">F72</f>
        <v>0.01</v>
      </c>
    </row>
    <row r="73" spans="1:19" ht="18" customHeight="1" x14ac:dyDescent="0.3">
      <c r="A73" s="399" t="s">
        <v>137</v>
      </c>
      <c r="B73" s="314"/>
      <c r="C73" s="400">
        <f t="shared" ref="C73:O73" si="23">IF(C72=0,0,C71/C72)</f>
        <v>0</v>
      </c>
      <c r="D73" s="401">
        <f t="shared" si="23"/>
        <v>0</v>
      </c>
      <c r="E73" s="401">
        <f t="shared" si="23"/>
        <v>0</v>
      </c>
      <c r="F73" s="402">
        <f t="shared" si="23"/>
        <v>0</v>
      </c>
      <c r="G73" s="403">
        <f t="shared" si="23"/>
        <v>0</v>
      </c>
      <c r="H73" s="401">
        <f t="shared" si="23"/>
        <v>0</v>
      </c>
      <c r="I73" s="401">
        <f t="shared" si="23"/>
        <v>0</v>
      </c>
      <c r="J73" s="402">
        <f t="shared" si="23"/>
        <v>0</v>
      </c>
      <c r="K73" s="208">
        <f t="shared" si="23"/>
        <v>0</v>
      </c>
      <c r="L73" s="400">
        <f t="shared" si="23"/>
        <v>0</v>
      </c>
      <c r="M73" s="401">
        <f t="shared" si="23"/>
        <v>0</v>
      </c>
      <c r="N73" s="401">
        <f t="shared" si="23"/>
        <v>0</v>
      </c>
      <c r="O73" s="402">
        <f t="shared" si="23"/>
        <v>0</v>
      </c>
    </row>
    <row r="74" spans="1:19" ht="18" customHeight="1" x14ac:dyDescent="0.3">
      <c r="A74" s="367" t="s">
        <v>23</v>
      </c>
      <c r="B74" s="234"/>
      <c r="C74" s="352">
        <f>$K$74</f>
        <v>0</v>
      </c>
      <c r="D74" s="353">
        <f>$K$74</f>
        <v>0</v>
      </c>
      <c r="E74" s="353">
        <f>$K$74</f>
        <v>0</v>
      </c>
      <c r="F74" s="354">
        <f>$K$74</f>
        <v>0</v>
      </c>
      <c r="G74" s="355">
        <f>K74-1%</f>
        <v>-0.01</v>
      </c>
      <c r="H74" s="353">
        <f>K74-0.5%</f>
        <v>-5.0000000000000001E-3</v>
      </c>
      <c r="I74" s="353">
        <f>K74+0.5%</f>
        <v>5.0000000000000001E-3</v>
      </c>
      <c r="J74" s="354">
        <f>K74+1%</f>
        <v>0.01</v>
      </c>
      <c r="K74" s="356">
        <f>$D$26</f>
        <v>0</v>
      </c>
      <c r="L74" s="352">
        <f>G74</f>
        <v>-0.01</v>
      </c>
      <c r="M74" s="353">
        <f t="shared" ref="M74:O74" si="24">H74</f>
        <v>-5.0000000000000001E-3</v>
      </c>
      <c r="N74" s="353">
        <f t="shared" si="24"/>
        <v>5.0000000000000001E-3</v>
      </c>
      <c r="O74" s="354">
        <f t="shared" si="24"/>
        <v>0.01</v>
      </c>
    </row>
    <row r="75" spans="1:19" ht="18" customHeight="1" x14ac:dyDescent="0.3">
      <c r="A75" s="368">
        <v>0.8</v>
      </c>
      <c r="B75" s="369" t="s">
        <v>141</v>
      </c>
      <c r="C75" s="357">
        <f>$A$75*C73</f>
        <v>0</v>
      </c>
      <c r="D75" s="358">
        <f t="shared" ref="D75:O75" si="25">$A$75*D73</f>
        <v>0</v>
      </c>
      <c r="E75" s="358">
        <f t="shared" si="25"/>
        <v>0</v>
      </c>
      <c r="F75" s="359">
        <f t="shared" si="25"/>
        <v>0</v>
      </c>
      <c r="G75" s="360">
        <f t="shared" si="25"/>
        <v>0</v>
      </c>
      <c r="H75" s="358">
        <f t="shared" si="25"/>
        <v>0</v>
      </c>
      <c r="I75" s="358">
        <f t="shared" si="25"/>
        <v>0</v>
      </c>
      <c r="J75" s="359">
        <f t="shared" si="25"/>
        <v>0</v>
      </c>
      <c r="K75" s="361">
        <f t="shared" si="25"/>
        <v>0</v>
      </c>
      <c r="L75" s="357">
        <f t="shared" si="25"/>
        <v>0</v>
      </c>
      <c r="M75" s="358">
        <f t="shared" si="25"/>
        <v>0</v>
      </c>
      <c r="N75" s="358">
        <f t="shared" si="25"/>
        <v>0</v>
      </c>
      <c r="O75" s="359">
        <f t="shared" si="25"/>
        <v>0</v>
      </c>
    </row>
    <row r="76" spans="1:19" ht="18" customHeight="1" x14ac:dyDescent="0.3">
      <c r="A76" s="370">
        <v>1.2</v>
      </c>
      <c r="B76" s="371" t="s">
        <v>142</v>
      </c>
      <c r="C76" s="362">
        <f>-PV(C74/12,$A$77*12,C71/12/$A$76)</f>
        <v>0</v>
      </c>
      <c r="D76" s="363">
        <f t="shared" ref="D76:O76" si="26">-PV(D74/12,$A$77*12,D71/12/$A$76)</f>
        <v>0</v>
      </c>
      <c r="E76" s="363">
        <f t="shared" si="26"/>
        <v>0</v>
      </c>
      <c r="F76" s="364">
        <f t="shared" si="26"/>
        <v>0</v>
      </c>
      <c r="G76" s="365">
        <f t="shared" si="26"/>
        <v>0</v>
      </c>
      <c r="H76" s="363">
        <f t="shared" si="26"/>
        <v>0</v>
      </c>
      <c r="I76" s="363">
        <f t="shared" si="26"/>
        <v>0</v>
      </c>
      <c r="J76" s="364">
        <f t="shared" si="26"/>
        <v>0</v>
      </c>
      <c r="K76" s="366">
        <f t="shared" si="26"/>
        <v>0</v>
      </c>
      <c r="L76" s="362">
        <f t="shared" si="26"/>
        <v>0</v>
      </c>
      <c r="M76" s="363">
        <f t="shared" si="26"/>
        <v>0</v>
      </c>
      <c r="N76" s="363">
        <f t="shared" si="26"/>
        <v>0</v>
      </c>
      <c r="O76" s="364">
        <f t="shared" si="26"/>
        <v>0</v>
      </c>
    </row>
    <row r="77" spans="1:19" ht="18" customHeight="1" x14ac:dyDescent="0.3">
      <c r="A77" s="383">
        <v>30</v>
      </c>
      <c r="B77" s="404" t="s">
        <v>146</v>
      </c>
      <c r="C77" s="400">
        <f>MIN(C75:C76)</f>
        <v>0</v>
      </c>
      <c r="D77" s="401">
        <f t="shared" ref="D77:O77" si="27">MIN(D75:D76)</f>
        <v>0</v>
      </c>
      <c r="E77" s="401">
        <f t="shared" si="27"/>
        <v>0</v>
      </c>
      <c r="F77" s="402">
        <f t="shared" si="27"/>
        <v>0</v>
      </c>
      <c r="G77" s="403">
        <f t="shared" si="27"/>
        <v>0</v>
      </c>
      <c r="H77" s="401">
        <f t="shared" si="27"/>
        <v>0</v>
      </c>
      <c r="I77" s="401">
        <f t="shared" si="27"/>
        <v>0</v>
      </c>
      <c r="J77" s="402">
        <f t="shared" si="27"/>
        <v>0</v>
      </c>
      <c r="K77" s="208">
        <f t="shared" si="27"/>
        <v>0</v>
      </c>
      <c r="L77" s="400">
        <f t="shared" si="27"/>
        <v>0</v>
      </c>
      <c r="M77" s="401">
        <f t="shared" si="27"/>
        <v>0</v>
      </c>
      <c r="N77" s="401">
        <f t="shared" si="27"/>
        <v>0</v>
      </c>
      <c r="O77" s="402">
        <f t="shared" si="27"/>
        <v>0</v>
      </c>
    </row>
    <row r="78" spans="1:19" ht="18" customHeight="1" x14ac:dyDescent="0.3">
      <c r="A78" s="376">
        <v>1.7500000000000002E-2</v>
      </c>
      <c r="B78" s="377" t="s">
        <v>138</v>
      </c>
      <c r="C78" s="378">
        <f>-$A$78*C77</f>
        <v>0</v>
      </c>
      <c r="D78" s="379">
        <f t="shared" ref="D78:O78" si="28">-$A$78*D77</f>
        <v>0</v>
      </c>
      <c r="E78" s="379">
        <f t="shared" si="28"/>
        <v>0</v>
      </c>
      <c r="F78" s="380">
        <f t="shared" si="28"/>
        <v>0</v>
      </c>
      <c r="G78" s="381">
        <f t="shared" si="28"/>
        <v>0</v>
      </c>
      <c r="H78" s="379">
        <f t="shared" si="28"/>
        <v>0</v>
      </c>
      <c r="I78" s="379">
        <f t="shared" si="28"/>
        <v>0</v>
      </c>
      <c r="J78" s="380">
        <f t="shared" si="28"/>
        <v>0</v>
      </c>
      <c r="K78" s="382">
        <f t="shared" si="28"/>
        <v>0</v>
      </c>
      <c r="L78" s="378">
        <f t="shared" si="28"/>
        <v>0</v>
      </c>
      <c r="M78" s="379">
        <f t="shared" si="28"/>
        <v>0</v>
      </c>
      <c r="N78" s="379">
        <f t="shared" si="28"/>
        <v>0</v>
      </c>
      <c r="O78" s="380">
        <f t="shared" si="28"/>
        <v>0</v>
      </c>
    </row>
    <row r="79" spans="1:19" ht="18" customHeight="1" x14ac:dyDescent="0.3">
      <c r="A79" s="372" t="s">
        <v>144</v>
      </c>
      <c r="B79" s="306"/>
      <c r="C79" s="357">
        <f t="shared" ref="C79:O79" si="29">IF($L$8=0,0,-$L$8-CUMPRINC($D$26/12,$D$29*12,$L$8,1,($D$27*12-($D$28*12)),0))</f>
        <v>0</v>
      </c>
      <c r="D79" s="358">
        <f t="shared" si="29"/>
        <v>0</v>
      </c>
      <c r="E79" s="358">
        <f t="shared" si="29"/>
        <v>0</v>
      </c>
      <c r="F79" s="359">
        <f t="shared" si="29"/>
        <v>0</v>
      </c>
      <c r="G79" s="360">
        <f t="shared" si="29"/>
        <v>0</v>
      </c>
      <c r="H79" s="358">
        <f t="shared" si="29"/>
        <v>0</v>
      </c>
      <c r="I79" s="358">
        <f t="shared" si="29"/>
        <v>0</v>
      </c>
      <c r="J79" s="359">
        <f t="shared" si="29"/>
        <v>0</v>
      </c>
      <c r="K79" s="361">
        <f t="shared" si="29"/>
        <v>0</v>
      </c>
      <c r="L79" s="357">
        <f t="shared" si="29"/>
        <v>0</v>
      </c>
      <c r="M79" s="358">
        <f t="shared" si="29"/>
        <v>0</v>
      </c>
      <c r="N79" s="358">
        <f t="shared" si="29"/>
        <v>0</v>
      </c>
      <c r="O79" s="359">
        <f t="shared" si="29"/>
        <v>0</v>
      </c>
    </row>
    <row r="80" spans="1:19" ht="18" customHeight="1" x14ac:dyDescent="0.3">
      <c r="A80" s="373" t="s">
        <v>143</v>
      </c>
      <c r="B80" s="374"/>
      <c r="C80" s="384">
        <f>-$O$65</f>
        <v>0</v>
      </c>
      <c r="D80" s="385">
        <f t="shared" ref="D80:O80" si="30">-$O$65</f>
        <v>0</v>
      </c>
      <c r="E80" s="385">
        <f t="shared" si="30"/>
        <v>0</v>
      </c>
      <c r="F80" s="386">
        <f t="shared" si="30"/>
        <v>0</v>
      </c>
      <c r="G80" s="387">
        <f t="shared" si="30"/>
        <v>0</v>
      </c>
      <c r="H80" s="385">
        <f t="shared" si="30"/>
        <v>0</v>
      </c>
      <c r="I80" s="385">
        <f t="shared" si="30"/>
        <v>0</v>
      </c>
      <c r="J80" s="386">
        <f t="shared" si="30"/>
        <v>0</v>
      </c>
      <c r="K80" s="388">
        <f t="shared" si="30"/>
        <v>0</v>
      </c>
      <c r="L80" s="384">
        <f t="shared" si="30"/>
        <v>0</v>
      </c>
      <c r="M80" s="385">
        <f t="shared" si="30"/>
        <v>0</v>
      </c>
      <c r="N80" s="385">
        <f t="shared" si="30"/>
        <v>0</v>
      </c>
      <c r="O80" s="386">
        <f t="shared" si="30"/>
        <v>0</v>
      </c>
    </row>
    <row r="81" spans="1:19" ht="18" customHeight="1" x14ac:dyDescent="0.3">
      <c r="A81" s="405" t="s">
        <v>152</v>
      </c>
      <c r="B81" s="314"/>
      <c r="C81" s="389">
        <f t="shared" ref="C81:M81" si="31">SUM(C77:C80)</f>
        <v>0</v>
      </c>
      <c r="D81" s="390">
        <f t="shared" si="31"/>
        <v>0</v>
      </c>
      <c r="E81" s="390">
        <f t="shared" si="31"/>
        <v>0</v>
      </c>
      <c r="F81" s="391">
        <f t="shared" si="31"/>
        <v>0</v>
      </c>
      <c r="G81" s="392">
        <f t="shared" si="31"/>
        <v>0</v>
      </c>
      <c r="H81" s="390">
        <f t="shared" si="31"/>
        <v>0</v>
      </c>
      <c r="I81" s="390">
        <f t="shared" si="31"/>
        <v>0</v>
      </c>
      <c r="J81" s="391">
        <f t="shared" si="31"/>
        <v>0</v>
      </c>
      <c r="K81" s="200">
        <f t="shared" si="31"/>
        <v>0</v>
      </c>
      <c r="L81" s="389">
        <f t="shared" si="31"/>
        <v>0</v>
      </c>
      <c r="M81" s="390">
        <f t="shared" si="31"/>
        <v>0</v>
      </c>
      <c r="N81" s="390">
        <f t="shared" ref="N81:O81" si="32">SUM(N77:N80)</f>
        <v>0</v>
      </c>
      <c r="O81" s="391">
        <f t="shared" si="32"/>
        <v>0</v>
      </c>
      <c r="P81" s="205" t="s">
        <v>44</v>
      </c>
    </row>
    <row r="82" spans="1:19" ht="18" customHeight="1" x14ac:dyDescent="0.3">
      <c r="A82" s="393" t="s">
        <v>147</v>
      </c>
      <c r="B82" s="304"/>
      <c r="C82" s="394">
        <f t="shared" ref="C82:M82" si="33">-MIN(0,C81)</f>
        <v>0</v>
      </c>
      <c r="D82" s="395">
        <f t="shared" si="33"/>
        <v>0</v>
      </c>
      <c r="E82" s="395">
        <f t="shared" si="33"/>
        <v>0</v>
      </c>
      <c r="F82" s="396">
        <f t="shared" si="33"/>
        <v>0</v>
      </c>
      <c r="G82" s="397">
        <f t="shared" si="33"/>
        <v>0</v>
      </c>
      <c r="H82" s="395">
        <f t="shared" si="33"/>
        <v>0</v>
      </c>
      <c r="I82" s="395">
        <f t="shared" si="33"/>
        <v>0</v>
      </c>
      <c r="J82" s="396">
        <f t="shared" si="33"/>
        <v>0</v>
      </c>
      <c r="K82" s="398">
        <f t="shared" si="33"/>
        <v>0</v>
      </c>
      <c r="L82" s="394">
        <f t="shared" si="33"/>
        <v>0</v>
      </c>
      <c r="M82" s="395">
        <f t="shared" si="33"/>
        <v>0</v>
      </c>
      <c r="N82" s="395">
        <f t="shared" ref="N82:O82" si="34">-MIN(0,N81)</f>
        <v>0</v>
      </c>
      <c r="O82" s="396">
        <f t="shared" si="34"/>
        <v>0</v>
      </c>
      <c r="P82" s="14" t="s">
        <v>45</v>
      </c>
    </row>
    <row r="83" spans="1:19" ht="18" customHeight="1" x14ac:dyDescent="0.3">
      <c r="A83" s="425" t="s">
        <v>145</v>
      </c>
      <c r="B83" s="306"/>
      <c r="C83" s="426">
        <f t="shared" ref="C83:O83" si="35">IF(C73=0,0,C82/C73)</f>
        <v>0</v>
      </c>
      <c r="D83" s="427">
        <f t="shared" si="35"/>
        <v>0</v>
      </c>
      <c r="E83" s="427">
        <f t="shared" si="35"/>
        <v>0</v>
      </c>
      <c r="F83" s="428">
        <f t="shared" si="35"/>
        <v>0</v>
      </c>
      <c r="G83" s="429">
        <f t="shared" si="35"/>
        <v>0</v>
      </c>
      <c r="H83" s="427">
        <f t="shared" si="35"/>
        <v>0</v>
      </c>
      <c r="I83" s="427">
        <f t="shared" si="35"/>
        <v>0</v>
      </c>
      <c r="J83" s="428">
        <f t="shared" si="35"/>
        <v>0</v>
      </c>
      <c r="K83" s="430">
        <f t="shared" si="35"/>
        <v>0</v>
      </c>
      <c r="L83" s="426">
        <f t="shared" si="35"/>
        <v>0</v>
      </c>
      <c r="M83" s="427">
        <f t="shared" si="35"/>
        <v>0</v>
      </c>
      <c r="N83" s="427">
        <f t="shared" si="35"/>
        <v>0</v>
      </c>
      <c r="O83" s="428">
        <f t="shared" si="35"/>
        <v>0</v>
      </c>
      <c r="P83" s="14" t="s">
        <v>46</v>
      </c>
    </row>
    <row r="84" spans="1:19" ht="18" customHeight="1" x14ac:dyDescent="0.3">
      <c r="A84" s="414" t="s">
        <v>148</v>
      </c>
      <c r="B84" s="308"/>
      <c r="C84" s="415">
        <f t="shared" ref="C84:O84" si="36">$L$12</f>
        <v>0</v>
      </c>
      <c r="D84" s="416">
        <f t="shared" si="36"/>
        <v>0</v>
      </c>
      <c r="E84" s="416">
        <f t="shared" si="36"/>
        <v>0</v>
      </c>
      <c r="F84" s="417">
        <f t="shared" si="36"/>
        <v>0</v>
      </c>
      <c r="G84" s="418">
        <f t="shared" si="36"/>
        <v>0</v>
      </c>
      <c r="H84" s="416">
        <f t="shared" si="36"/>
        <v>0</v>
      </c>
      <c r="I84" s="416">
        <f t="shared" si="36"/>
        <v>0</v>
      </c>
      <c r="J84" s="417">
        <f t="shared" si="36"/>
        <v>0</v>
      </c>
      <c r="K84" s="419">
        <f t="shared" si="36"/>
        <v>0</v>
      </c>
      <c r="L84" s="415">
        <f t="shared" si="36"/>
        <v>0</v>
      </c>
      <c r="M84" s="416">
        <f t="shared" si="36"/>
        <v>0</v>
      </c>
      <c r="N84" s="416">
        <f t="shared" si="36"/>
        <v>0</v>
      </c>
      <c r="O84" s="417">
        <f t="shared" si="36"/>
        <v>0</v>
      </c>
    </row>
    <row r="85" spans="1:19" ht="18" customHeight="1" x14ac:dyDescent="0.3">
      <c r="A85" s="420" t="s">
        <v>149</v>
      </c>
      <c r="B85" s="339"/>
      <c r="C85" s="421">
        <f>IF(C82=0,-MIN(C81,C84),0)</f>
        <v>0</v>
      </c>
      <c r="D85" s="422">
        <f t="shared" ref="D85:O85" si="37">IF(D82=0,-MIN(D81,D84),0)</f>
        <v>0</v>
      </c>
      <c r="E85" s="422">
        <f t="shared" si="37"/>
        <v>0</v>
      </c>
      <c r="F85" s="423">
        <f t="shared" si="37"/>
        <v>0</v>
      </c>
      <c r="G85" s="424">
        <f t="shared" si="37"/>
        <v>0</v>
      </c>
      <c r="H85" s="422">
        <f t="shared" si="37"/>
        <v>0</v>
      </c>
      <c r="I85" s="422">
        <f t="shared" si="37"/>
        <v>0</v>
      </c>
      <c r="J85" s="423">
        <f t="shared" si="37"/>
        <v>0</v>
      </c>
      <c r="K85" s="207">
        <f t="shared" si="37"/>
        <v>0</v>
      </c>
      <c r="L85" s="421">
        <f t="shared" si="37"/>
        <v>0</v>
      </c>
      <c r="M85" s="422">
        <f t="shared" si="37"/>
        <v>0</v>
      </c>
      <c r="N85" s="422">
        <f t="shared" si="37"/>
        <v>0</v>
      </c>
      <c r="O85" s="423">
        <f t="shared" si="37"/>
        <v>0</v>
      </c>
    </row>
    <row r="86" spans="1:19" ht="18" customHeight="1" x14ac:dyDescent="0.3">
      <c r="A86" s="405" t="s">
        <v>150</v>
      </c>
      <c r="B86" s="314"/>
      <c r="C86" s="400">
        <f>SUM(C84:C85)</f>
        <v>0</v>
      </c>
      <c r="D86" s="401">
        <f t="shared" ref="D86:O86" si="38">SUM(D84:D85)</f>
        <v>0</v>
      </c>
      <c r="E86" s="401">
        <f t="shared" si="38"/>
        <v>0</v>
      </c>
      <c r="F86" s="402">
        <f t="shared" si="38"/>
        <v>0</v>
      </c>
      <c r="G86" s="403">
        <f t="shared" si="38"/>
        <v>0</v>
      </c>
      <c r="H86" s="401">
        <f t="shared" si="38"/>
        <v>0</v>
      </c>
      <c r="I86" s="401">
        <f t="shared" si="38"/>
        <v>0</v>
      </c>
      <c r="J86" s="406">
        <f t="shared" si="38"/>
        <v>0</v>
      </c>
      <c r="K86" s="208">
        <f t="shared" si="38"/>
        <v>0</v>
      </c>
      <c r="L86" s="403">
        <f t="shared" si="38"/>
        <v>0</v>
      </c>
      <c r="M86" s="401">
        <f t="shared" si="38"/>
        <v>0</v>
      </c>
      <c r="N86" s="401">
        <f t="shared" si="38"/>
        <v>0</v>
      </c>
      <c r="O86" s="402">
        <f t="shared" si="38"/>
        <v>0</v>
      </c>
    </row>
    <row r="87" spans="1:19" ht="18" customHeight="1" x14ac:dyDescent="0.3">
      <c r="A87" s="407" t="s">
        <v>153</v>
      </c>
      <c r="B87" s="408"/>
      <c r="C87" s="409">
        <f>IF(C82&gt;0,SUM(C82,C84),0)</f>
        <v>0</v>
      </c>
      <c r="D87" s="410">
        <f t="shared" ref="D87:O87" si="39">IF(D82&gt;0,SUM(D82,D84),0)</f>
        <v>0</v>
      </c>
      <c r="E87" s="410">
        <f t="shared" si="39"/>
        <v>0</v>
      </c>
      <c r="F87" s="411">
        <f t="shared" si="39"/>
        <v>0</v>
      </c>
      <c r="G87" s="412">
        <f t="shared" si="39"/>
        <v>0</v>
      </c>
      <c r="H87" s="410">
        <f t="shared" si="39"/>
        <v>0</v>
      </c>
      <c r="I87" s="410">
        <f t="shared" si="39"/>
        <v>0</v>
      </c>
      <c r="J87" s="413">
        <f t="shared" si="39"/>
        <v>0</v>
      </c>
      <c r="K87" s="206">
        <f t="shared" si="39"/>
        <v>0</v>
      </c>
      <c r="L87" s="412">
        <f t="shared" si="39"/>
        <v>0</v>
      </c>
      <c r="M87" s="410">
        <f t="shared" si="39"/>
        <v>0</v>
      </c>
      <c r="N87" s="410">
        <f t="shared" si="39"/>
        <v>0</v>
      </c>
      <c r="O87" s="411">
        <f t="shared" si="39"/>
        <v>0</v>
      </c>
    </row>
    <row r="88" spans="1:19" ht="18" customHeight="1" x14ac:dyDescent="0.3">
      <c r="A88" s="405" t="s">
        <v>151</v>
      </c>
      <c r="B88" s="314"/>
      <c r="C88" s="400">
        <f>IF(C86=0,SUM(C81,C85),0)</f>
        <v>0</v>
      </c>
      <c r="D88" s="401">
        <f t="shared" ref="D88:O88" si="40">IF(D86=0,SUM(D81,D85),0)</f>
        <v>0</v>
      </c>
      <c r="E88" s="401">
        <f t="shared" si="40"/>
        <v>0</v>
      </c>
      <c r="F88" s="402">
        <f t="shared" si="40"/>
        <v>0</v>
      </c>
      <c r="G88" s="403">
        <f t="shared" si="40"/>
        <v>0</v>
      </c>
      <c r="H88" s="401">
        <f t="shared" si="40"/>
        <v>0</v>
      </c>
      <c r="I88" s="401">
        <f t="shared" si="40"/>
        <v>0</v>
      </c>
      <c r="J88" s="406">
        <f t="shared" si="40"/>
        <v>0</v>
      </c>
      <c r="K88" s="208">
        <f t="shared" si="40"/>
        <v>0</v>
      </c>
      <c r="L88" s="403">
        <f t="shared" si="40"/>
        <v>0</v>
      </c>
      <c r="M88" s="401">
        <f t="shared" si="40"/>
        <v>0</v>
      </c>
      <c r="N88" s="401">
        <f t="shared" si="40"/>
        <v>0</v>
      </c>
      <c r="O88" s="402">
        <f t="shared" si="40"/>
        <v>0</v>
      </c>
    </row>
    <row r="89" spans="1:19" ht="18" customHeight="1" x14ac:dyDescent="0.3">
      <c r="A89" s="21"/>
      <c r="B89" s="21"/>
      <c r="C89" s="21"/>
      <c r="D89" s="18"/>
      <c r="E89" s="18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22" t="s">
        <v>8</v>
      </c>
      <c r="R89" s="14"/>
      <c r="S89" s="14"/>
    </row>
    <row r="90" spans="1:19" ht="18" customHeight="1" x14ac:dyDescent="0.3">
      <c r="A90" s="431" t="s">
        <v>172</v>
      </c>
      <c r="B90" s="432"/>
      <c r="C90" s="682" t="s">
        <v>156</v>
      </c>
      <c r="D90" s="683"/>
      <c r="E90" s="683"/>
      <c r="F90" s="684"/>
      <c r="G90" s="682" t="s">
        <v>157</v>
      </c>
      <c r="H90" s="683"/>
      <c r="I90" s="683"/>
      <c r="J90" s="684"/>
      <c r="K90" s="687" t="s">
        <v>171</v>
      </c>
      <c r="L90" s="682" t="s">
        <v>158</v>
      </c>
      <c r="M90" s="683"/>
      <c r="N90" s="683"/>
      <c r="O90" s="684"/>
      <c r="P90" s="22"/>
      <c r="R90" s="14"/>
      <c r="S90" s="14"/>
    </row>
    <row r="91" spans="1:19" ht="18" customHeight="1" x14ac:dyDescent="0.3">
      <c r="A91" s="338" t="s">
        <v>155</v>
      </c>
      <c r="B91" s="433"/>
      <c r="C91" s="201" t="s">
        <v>159</v>
      </c>
      <c r="D91" s="202" t="s">
        <v>160</v>
      </c>
      <c r="E91" s="202" t="s">
        <v>161</v>
      </c>
      <c r="F91" s="203" t="s">
        <v>162</v>
      </c>
      <c r="G91" s="204" t="s">
        <v>163</v>
      </c>
      <c r="H91" s="202" t="s">
        <v>164</v>
      </c>
      <c r="I91" s="202" t="s">
        <v>165</v>
      </c>
      <c r="J91" s="203" t="s">
        <v>166</v>
      </c>
      <c r="K91" s="688"/>
      <c r="L91" s="201" t="s">
        <v>167</v>
      </c>
      <c r="M91" s="202" t="s">
        <v>168</v>
      </c>
      <c r="N91" s="202" t="s">
        <v>169</v>
      </c>
      <c r="O91" s="203" t="s">
        <v>170</v>
      </c>
      <c r="P91" s="22"/>
      <c r="R91" s="14"/>
      <c r="S91" s="14"/>
    </row>
    <row r="92" spans="1:19" ht="18" customHeight="1" x14ac:dyDescent="0.3">
      <c r="A92" s="340" t="s">
        <v>140</v>
      </c>
      <c r="B92" s="434"/>
      <c r="C92" s="341">
        <f t="shared" ref="C92:O92" si="41">$O$140</f>
        <v>0</v>
      </c>
      <c r="D92" s="342">
        <f t="shared" si="41"/>
        <v>0</v>
      </c>
      <c r="E92" s="342">
        <f t="shared" si="41"/>
        <v>0</v>
      </c>
      <c r="F92" s="343">
        <f t="shared" si="41"/>
        <v>0</v>
      </c>
      <c r="G92" s="344">
        <f t="shared" si="41"/>
        <v>0</v>
      </c>
      <c r="H92" s="342">
        <f t="shared" si="41"/>
        <v>0</v>
      </c>
      <c r="I92" s="342">
        <f t="shared" si="41"/>
        <v>0</v>
      </c>
      <c r="J92" s="343">
        <f t="shared" si="41"/>
        <v>0</v>
      </c>
      <c r="K92" s="345">
        <f t="shared" si="41"/>
        <v>0</v>
      </c>
      <c r="L92" s="341">
        <f t="shared" si="41"/>
        <v>0</v>
      </c>
      <c r="M92" s="342">
        <f t="shared" si="41"/>
        <v>0</v>
      </c>
      <c r="N92" s="342">
        <f t="shared" si="41"/>
        <v>0</v>
      </c>
      <c r="O92" s="343">
        <f t="shared" si="41"/>
        <v>0</v>
      </c>
      <c r="P92" s="22"/>
      <c r="R92" s="14"/>
      <c r="S92" s="14"/>
    </row>
    <row r="93" spans="1:19" ht="18" customHeight="1" x14ac:dyDescent="0.3">
      <c r="A93" s="346" t="s">
        <v>139</v>
      </c>
      <c r="B93" s="435"/>
      <c r="C93" s="347">
        <f>IF(K93=0,0,K93-1%)</f>
        <v>0</v>
      </c>
      <c r="D93" s="348">
        <f>IF(L93=0,0,L93-0.5%)</f>
        <v>0</v>
      </c>
      <c r="E93" s="348">
        <f>IF(M93=0,0,M93+0.5%)</f>
        <v>0</v>
      </c>
      <c r="F93" s="349">
        <f>IF(N93=0,0,N93+1%)</f>
        <v>0</v>
      </c>
      <c r="G93" s="350">
        <f>$K$72</f>
        <v>0</v>
      </c>
      <c r="H93" s="348">
        <f>$K$72</f>
        <v>0</v>
      </c>
      <c r="I93" s="348">
        <f>$K$72</f>
        <v>0</v>
      </c>
      <c r="J93" s="349">
        <f>$K$72</f>
        <v>0</v>
      </c>
      <c r="K93" s="351">
        <f>$E$18</f>
        <v>0</v>
      </c>
      <c r="L93" s="347">
        <f>C93</f>
        <v>0</v>
      </c>
      <c r="M93" s="348">
        <f>D93</f>
        <v>0</v>
      </c>
      <c r="N93" s="348">
        <f>E93</f>
        <v>0</v>
      </c>
      <c r="O93" s="349">
        <f t="shared" ref="O93" si="42">F93</f>
        <v>0</v>
      </c>
      <c r="P93" s="22"/>
      <c r="R93" s="14"/>
      <c r="S93" s="14"/>
    </row>
    <row r="94" spans="1:19" ht="18" customHeight="1" x14ac:dyDescent="0.3">
      <c r="A94" s="436" t="s">
        <v>137</v>
      </c>
      <c r="B94" s="433"/>
      <c r="C94" s="421">
        <f t="shared" ref="C94:O94" si="43">IF(C93=0,0,C92/C93)</f>
        <v>0</v>
      </c>
      <c r="D94" s="422">
        <f t="shared" si="43"/>
        <v>0</v>
      </c>
      <c r="E94" s="422">
        <f t="shared" si="43"/>
        <v>0</v>
      </c>
      <c r="F94" s="423">
        <f t="shared" si="43"/>
        <v>0</v>
      </c>
      <c r="G94" s="424">
        <f t="shared" si="43"/>
        <v>0</v>
      </c>
      <c r="H94" s="422">
        <f t="shared" si="43"/>
        <v>0</v>
      </c>
      <c r="I94" s="422">
        <f t="shared" si="43"/>
        <v>0</v>
      </c>
      <c r="J94" s="423">
        <f t="shared" si="43"/>
        <v>0</v>
      </c>
      <c r="K94" s="207">
        <f t="shared" si="43"/>
        <v>0</v>
      </c>
      <c r="L94" s="421">
        <f t="shared" si="43"/>
        <v>0</v>
      </c>
      <c r="M94" s="422">
        <f t="shared" si="43"/>
        <v>0</v>
      </c>
      <c r="N94" s="422">
        <f t="shared" si="43"/>
        <v>0</v>
      </c>
      <c r="O94" s="423">
        <f t="shared" si="43"/>
        <v>0</v>
      </c>
      <c r="P94" s="22"/>
      <c r="R94" s="14"/>
      <c r="S94" s="14"/>
    </row>
    <row r="95" spans="1:19" ht="18" customHeight="1" x14ac:dyDescent="0.3">
      <c r="A95" s="439">
        <v>0.05</v>
      </c>
      <c r="B95" s="375" t="s">
        <v>173</v>
      </c>
      <c r="C95" s="341">
        <f>-$A$95*C94</f>
        <v>0</v>
      </c>
      <c r="D95" s="342">
        <f t="shared" ref="D95:O95" si="44">-$A$95*D94</f>
        <v>0</v>
      </c>
      <c r="E95" s="342">
        <f t="shared" si="44"/>
        <v>0</v>
      </c>
      <c r="F95" s="437">
        <f t="shared" si="44"/>
        <v>0</v>
      </c>
      <c r="G95" s="341">
        <f t="shared" si="44"/>
        <v>0</v>
      </c>
      <c r="H95" s="342">
        <f t="shared" si="44"/>
        <v>0</v>
      </c>
      <c r="I95" s="342">
        <f t="shared" si="44"/>
        <v>0</v>
      </c>
      <c r="J95" s="343">
        <f t="shared" si="44"/>
        <v>0</v>
      </c>
      <c r="K95" s="345">
        <f t="shared" si="44"/>
        <v>0</v>
      </c>
      <c r="L95" s="344">
        <f t="shared" si="44"/>
        <v>0</v>
      </c>
      <c r="M95" s="342">
        <f t="shared" si="44"/>
        <v>0</v>
      </c>
      <c r="N95" s="342">
        <f t="shared" si="44"/>
        <v>0</v>
      </c>
      <c r="O95" s="343">
        <f t="shared" si="44"/>
        <v>0</v>
      </c>
    </row>
    <row r="96" spans="1:19" ht="18" customHeight="1" x14ac:dyDescent="0.3">
      <c r="A96" s="372" t="s">
        <v>144</v>
      </c>
      <c r="B96" s="438"/>
      <c r="C96" s="357">
        <f t="shared" ref="C96:O96" si="45">IF($L$8=0,0,-$L$8-CUMPRINC($D$26/12,$D$29*12,$L$8,1,($D$27*12-($D$28*12)),0))</f>
        <v>0</v>
      </c>
      <c r="D96" s="358">
        <f t="shared" si="45"/>
        <v>0</v>
      </c>
      <c r="E96" s="358">
        <f t="shared" si="45"/>
        <v>0</v>
      </c>
      <c r="F96" s="448">
        <f t="shared" si="45"/>
        <v>0</v>
      </c>
      <c r="G96" s="357">
        <f t="shared" si="45"/>
        <v>0</v>
      </c>
      <c r="H96" s="358">
        <f t="shared" si="45"/>
        <v>0</v>
      </c>
      <c r="I96" s="358">
        <f t="shared" si="45"/>
        <v>0</v>
      </c>
      <c r="J96" s="359">
        <f t="shared" si="45"/>
        <v>0</v>
      </c>
      <c r="K96" s="361">
        <f t="shared" si="45"/>
        <v>0</v>
      </c>
      <c r="L96" s="357">
        <f t="shared" si="45"/>
        <v>0</v>
      </c>
      <c r="M96" s="358">
        <f t="shared" si="45"/>
        <v>0</v>
      </c>
      <c r="N96" s="358">
        <f t="shared" si="45"/>
        <v>0</v>
      </c>
      <c r="O96" s="359">
        <f t="shared" si="45"/>
        <v>0</v>
      </c>
    </row>
    <row r="97" spans="1:19" ht="18" customHeight="1" x14ac:dyDescent="0.3">
      <c r="A97" s="373" t="s">
        <v>143</v>
      </c>
      <c r="B97" s="446"/>
      <c r="C97" s="384">
        <f>-$O$65</f>
        <v>0</v>
      </c>
      <c r="D97" s="385">
        <f t="shared" ref="D97:O97" si="46">-$O$65</f>
        <v>0</v>
      </c>
      <c r="E97" s="385">
        <f t="shared" si="46"/>
        <v>0</v>
      </c>
      <c r="F97" s="449">
        <f t="shared" si="46"/>
        <v>0</v>
      </c>
      <c r="G97" s="384">
        <f t="shared" si="46"/>
        <v>0</v>
      </c>
      <c r="H97" s="385">
        <f t="shared" si="46"/>
        <v>0</v>
      </c>
      <c r="I97" s="385">
        <f t="shared" si="46"/>
        <v>0</v>
      </c>
      <c r="J97" s="386">
        <f t="shared" si="46"/>
        <v>0</v>
      </c>
      <c r="K97" s="388">
        <f t="shared" si="46"/>
        <v>0</v>
      </c>
      <c r="L97" s="384">
        <f t="shared" si="46"/>
        <v>0</v>
      </c>
      <c r="M97" s="385">
        <f t="shared" si="46"/>
        <v>0</v>
      </c>
      <c r="N97" s="385">
        <f t="shared" si="46"/>
        <v>0</v>
      </c>
      <c r="O97" s="386">
        <f t="shared" si="46"/>
        <v>0</v>
      </c>
    </row>
    <row r="98" spans="1:19" ht="18" customHeight="1" x14ac:dyDescent="0.3">
      <c r="A98" s="447" t="s">
        <v>199</v>
      </c>
      <c r="B98" s="238"/>
      <c r="C98" s="362">
        <f t="shared" ref="C98:O98" si="47">-$L$12</f>
        <v>0</v>
      </c>
      <c r="D98" s="363">
        <f t="shared" si="47"/>
        <v>0</v>
      </c>
      <c r="E98" s="363">
        <f t="shared" si="47"/>
        <v>0</v>
      </c>
      <c r="F98" s="450">
        <f t="shared" si="47"/>
        <v>0</v>
      </c>
      <c r="G98" s="362">
        <f t="shared" si="47"/>
        <v>0</v>
      </c>
      <c r="H98" s="363">
        <f t="shared" si="47"/>
        <v>0</v>
      </c>
      <c r="I98" s="363">
        <f t="shared" si="47"/>
        <v>0</v>
      </c>
      <c r="J98" s="364">
        <f t="shared" si="47"/>
        <v>0</v>
      </c>
      <c r="K98" s="366">
        <f t="shared" si="47"/>
        <v>0</v>
      </c>
      <c r="L98" s="362">
        <f t="shared" si="47"/>
        <v>0</v>
      </c>
      <c r="M98" s="363">
        <f t="shared" si="47"/>
        <v>0</v>
      </c>
      <c r="N98" s="363">
        <f t="shared" si="47"/>
        <v>0</v>
      </c>
      <c r="O98" s="364">
        <f t="shared" si="47"/>
        <v>0</v>
      </c>
    </row>
    <row r="99" spans="1:19" ht="18" customHeight="1" x14ac:dyDescent="0.3">
      <c r="A99" s="405" t="s">
        <v>152</v>
      </c>
      <c r="B99" s="314"/>
      <c r="C99" s="389">
        <f t="shared" ref="C99:O99" si="48">SUM(C94:C98)</f>
        <v>0</v>
      </c>
      <c r="D99" s="390">
        <f t="shared" si="48"/>
        <v>0</v>
      </c>
      <c r="E99" s="390">
        <f t="shared" si="48"/>
        <v>0</v>
      </c>
      <c r="F99" s="391">
        <f t="shared" si="48"/>
        <v>0</v>
      </c>
      <c r="G99" s="392">
        <f t="shared" si="48"/>
        <v>0</v>
      </c>
      <c r="H99" s="390">
        <f t="shared" si="48"/>
        <v>0</v>
      </c>
      <c r="I99" s="390">
        <f t="shared" si="48"/>
        <v>0</v>
      </c>
      <c r="J99" s="391">
        <f t="shared" si="48"/>
        <v>0</v>
      </c>
      <c r="K99" s="200">
        <f t="shared" si="48"/>
        <v>0</v>
      </c>
      <c r="L99" s="389">
        <f t="shared" si="48"/>
        <v>0</v>
      </c>
      <c r="M99" s="390">
        <f t="shared" si="48"/>
        <v>0</v>
      </c>
      <c r="N99" s="390">
        <f t="shared" si="48"/>
        <v>0</v>
      </c>
      <c r="O99" s="391">
        <f t="shared" si="48"/>
        <v>0</v>
      </c>
      <c r="P99" s="205" t="s">
        <v>44</v>
      </c>
    </row>
    <row r="100" spans="1:19" ht="18" customHeight="1" x14ac:dyDescent="0.3">
      <c r="A100" s="21"/>
      <c r="B100" s="21"/>
      <c r="C100" s="21"/>
      <c r="D100" s="18"/>
      <c r="E100" s="18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22"/>
      <c r="R100" s="14"/>
      <c r="S100" s="14"/>
    </row>
    <row r="101" spans="1:19" ht="23.4" x14ac:dyDescent="0.45">
      <c r="A101" s="665" t="s">
        <v>121</v>
      </c>
      <c r="B101" s="666"/>
      <c r="C101" s="666"/>
      <c r="D101" s="666"/>
      <c r="E101" s="666"/>
      <c r="F101" s="666"/>
      <c r="G101" s="666"/>
      <c r="H101" s="666"/>
      <c r="I101" s="666"/>
      <c r="J101" s="666"/>
      <c r="K101" s="666"/>
      <c r="L101" s="666"/>
      <c r="M101" s="666"/>
      <c r="N101" s="666"/>
      <c r="O101" s="667"/>
      <c r="P101" s="17"/>
      <c r="Q101" s="14"/>
      <c r="R101" s="14"/>
      <c r="S101" s="14"/>
    </row>
    <row r="102" spans="1:19" ht="18" customHeight="1" x14ac:dyDescent="0.3">
      <c r="A102" s="25"/>
      <c r="B102" s="25"/>
      <c r="C102" s="25"/>
      <c r="D102" s="25"/>
      <c r="E102" s="165"/>
      <c r="F102" s="165"/>
      <c r="G102" s="165"/>
      <c r="H102" s="26"/>
      <c r="I102" s="26"/>
      <c r="J102" s="26"/>
      <c r="K102" s="26"/>
      <c r="L102" s="26"/>
      <c r="M102" s="26"/>
      <c r="N102" s="26"/>
      <c r="O102" s="26"/>
      <c r="P102" s="29"/>
      <c r="Q102" s="29"/>
      <c r="R102" s="14"/>
      <c r="S102" s="14"/>
    </row>
    <row r="103" spans="1:19" ht="18" customHeight="1" x14ac:dyDescent="0.3">
      <c r="A103" s="162" t="s">
        <v>3</v>
      </c>
      <c r="B103" s="163"/>
      <c r="C103" s="163"/>
      <c r="D103" s="164"/>
      <c r="E103" s="178" t="s">
        <v>124</v>
      </c>
      <c r="F103" s="177">
        <v>1</v>
      </c>
      <c r="G103" s="175">
        <v>2</v>
      </c>
      <c r="H103" s="175">
        <v>3</v>
      </c>
      <c r="I103" s="175">
        <v>4</v>
      </c>
      <c r="J103" s="175">
        <v>5</v>
      </c>
      <c r="K103" s="175">
        <v>6</v>
      </c>
      <c r="L103" s="175">
        <v>7</v>
      </c>
      <c r="M103" s="175">
        <v>8</v>
      </c>
      <c r="N103" s="175">
        <v>9</v>
      </c>
      <c r="O103" s="176">
        <v>10</v>
      </c>
      <c r="P103" s="58">
        <v>11</v>
      </c>
      <c r="Q103" s="58">
        <v>12</v>
      </c>
    </row>
    <row r="104" spans="1:19" ht="18" customHeight="1" x14ac:dyDescent="0.3">
      <c r="A104" s="168"/>
      <c r="B104" s="27"/>
      <c r="C104" s="27"/>
      <c r="D104" s="27"/>
      <c r="E104" s="27"/>
      <c r="F104" s="27"/>
      <c r="G104" s="27"/>
      <c r="H104" s="27"/>
      <c r="I104" s="27"/>
      <c r="J104" s="27"/>
      <c r="K104" s="29"/>
      <c r="L104" s="29"/>
      <c r="M104" s="29"/>
      <c r="N104" s="29"/>
      <c r="O104" s="29"/>
      <c r="R104" s="14"/>
      <c r="S104" s="14"/>
    </row>
    <row r="105" spans="1:19" ht="18" customHeight="1" x14ac:dyDescent="0.3">
      <c r="A105" s="169" t="s">
        <v>122</v>
      </c>
      <c r="B105" s="14"/>
      <c r="C105" s="14"/>
      <c r="E105" s="59"/>
      <c r="F105" s="681" t="s">
        <v>198</v>
      </c>
      <c r="G105" s="681"/>
      <c r="H105" s="681"/>
      <c r="I105" s="59"/>
      <c r="J105" s="59"/>
      <c r="K105" s="59"/>
      <c r="L105" s="59"/>
      <c r="M105" s="59"/>
      <c r="N105" s="59"/>
      <c r="O105" s="59"/>
      <c r="P105" s="58">
        <v>11</v>
      </c>
      <c r="Q105" s="58">
        <v>12</v>
      </c>
    </row>
    <row r="106" spans="1:19" ht="18" customHeight="1" x14ac:dyDescent="0.3">
      <c r="A106" s="455" t="s">
        <v>200</v>
      </c>
      <c r="B106" s="456"/>
      <c r="C106" s="457"/>
      <c r="D106" s="304"/>
      <c r="E106" s="458"/>
      <c r="F106" s="569">
        <f>IF(E107&gt;0,(F107-E107)/E107,0)</f>
        <v>0</v>
      </c>
      <c r="G106" s="459">
        <v>0.04</v>
      </c>
      <c r="H106" s="459">
        <v>0.04</v>
      </c>
      <c r="I106" s="459">
        <v>0.02</v>
      </c>
      <c r="J106" s="459">
        <v>0.02</v>
      </c>
      <c r="K106" s="459">
        <v>0.02</v>
      </c>
      <c r="L106" s="459">
        <v>0.02</v>
      </c>
      <c r="M106" s="459">
        <v>0.02</v>
      </c>
      <c r="N106" s="459">
        <v>0.02</v>
      </c>
      <c r="O106" s="460">
        <v>0.02</v>
      </c>
      <c r="P106" s="16"/>
      <c r="R106" s="14"/>
      <c r="S106" s="14"/>
    </row>
    <row r="107" spans="1:19" ht="18" customHeight="1" x14ac:dyDescent="0.3">
      <c r="A107" s="465" t="s">
        <v>177</v>
      </c>
      <c r="B107" s="305"/>
      <c r="C107" s="305"/>
      <c r="D107" s="306"/>
      <c r="E107" s="474">
        <f>12*'Unit Mix'!D16</f>
        <v>0</v>
      </c>
      <c r="F107" s="640">
        <f>12*'Unit Mix'!E16</f>
        <v>0</v>
      </c>
      <c r="G107" s="291">
        <f t="shared" ref="G107:O107" si="49">F107*(1+G$106)</f>
        <v>0</v>
      </c>
      <c r="H107" s="291">
        <f t="shared" si="49"/>
        <v>0</v>
      </c>
      <c r="I107" s="291">
        <f t="shared" si="49"/>
        <v>0</v>
      </c>
      <c r="J107" s="291">
        <f t="shared" si="49"/>
        <v>0</v>
      </c>
      <c r="K107" s="291">
        <f t="shared" si="49"/>
        <v>0</v>
      </c>
      <c r="L107" s="291">
        <f t="shared" si="49"/>
        <v>0</v>
      </c>
      <c r="M107" s="291">
        <f t="shared" si="49"/>
        <v>0</v>
      </c>
      <c r="N107" s="291">
        <f t="shared" si="49"/>
        <v>0</v>
      </c>
      <c r="O107" s="292">
        <f t="shared" si="49"/>
        <v>0</v>
      </c>
      <c r="R107" s="14"/>
      <c r="S107" s="14"/>
    </row>
    <row r="108" spans="1:19" ht="18" customHeight="1" x14ac:dyDescent="0.3">
      <c r="A108" s="454" t="s">
        <v>201</v>
      </c>
      <c r="B108" s="461"/>
      <c r="C108" s="305"/>
      <c r="D108" s="306"/>
      <c r="E108" s="462"/>
      <c r="F108" s="641">
        <f>IF(E109&gt;0,(F109-E109)/E109,0)</f>
        <v>0</v>
      </c>
      <c r="G108" s="463"/>
      <c r="H108" s="463"/>
      <c r="I108" s="463"/>
      <c r="J108" s="463"/>
      <c r="K108" s="463"/>
      <c r="L108" s="463"/>
      <c r="M108" s="463"/>
      <c r="N108" s="463"/>
      <c r="O108" s="464"/>
      <c r="R108" s="14"/>
      <c r="S108" s="14"/>
    </row>
    <row r="109" spans="1:19" ht="18" customHeight="1" x14ac:dyDescent="0.3">
      <c r="A109" s="472" t="s">
        <v>178</v>
      </c>
      <c r="B109" s="473"/>
      <c r="C109" s="473"/>
      <c r="D109" s="374"/>
      <c r="E109" s="474">
        <f>12*'Unit Mix'!D17</f>
        <v>0</v>
      </c>
      <c r="F109" s="642">
        <f>12*'Unit Mix'!E17</f>
        <v>0</v>
      </c>
      <c r="G109" s="475">
        <f t="shared" ref="G109:O109" si="50">F109*(1+G$108)</f>
        <v>0</v>
      </c>
      <c r="H109" s="476">
        <f t="shared" si="50"/>
        <v>0</v>
      </c>
      <c r="I109" s="476">
        <f t="shared" si="50"/>
        <v>0</v>
      </c>
      <c r="J109" s="476">
        <f t="shared" si="50"/>
        <v>0</v>
      </c>
      <c r="K109" s="476">
        <f t="shared" si="50"/>
        <v>0</v>
      </c>
      <c r="L109" s="476">
        <f t="shared" si="50"/>
        <v>0</v>
      </c>
      <c r="M109" s="476">
        <f t="shared" si="50"/>
        <v>0</v>
      </c>
      <c r="N109" s="476">
        <f t="shared" si="50"/>
        <v>0</v>
      </c>
      <c r="O109" s="477">
        <f t="shared" si="50"/>
        <v>0</v>
      </c>
      <c r="R109" s="14"/>
      <c r="S109" s="14"/>
    </row>
    <row r="110" spans="1:19" ht="18" customHeight="1" x14ac:dyDescent="0.3">
      <c r="A110" s="483" t="s">
        <v>203</v>
      </c>
      <c r="B110" s="313"/>
      <c r="C110" s="313"/>
      <c r="D110" s="314"/>
      <c r="E110" s="484">
        <f t="shared" ref="E110:O110" si="51">SUM(E107,E109)</f>
        <v>0</v>
      </c>
      <c r="F110" s="484">
        <f t="shared" si="51"/>
        <v>0</v>
      </c>
      <c r="G110" s="485">
        <f t="shared" si="51"/>
        <v>0</v>
      </c>
      <c r="H110" s="485">
        <f t="shared" si="51"/>
        <v>0</v>
      </c>
      <c r="I110" s="485">
        <f t="shared" si="51"/>
        <v>0</v>
      </c>
      <c r="J110" s="485">
        <f t="shared" si="51"/>
        <v>0</v>
      </c>
      <c r="K110" s="485">
        <f t="shared" si="51"/>
        <v>0</v>
      </c>
      <c r="L110" s="485">
        <f t="shared" si="51"/>
        <v>0</v>
      </c>
      <c r="M110" s="485">
        <f t="shared" si="51"/>
        <v>0</v>
      </c>
      <c r="N110" s="485">
        <f t="shared" si="51"/>
        <v>0</v>
      </c>
      <c r="O110" s="486">
        <f t="shared" si="51"/>
        <v>0</v>
      </c>
      <c r="R110" s="14"/>
      <c r="S110" s="14"/>
    </row>
    <row r="111" spans="1:19" ht="18" customHeight="1" x14ac:dyDescent="0.3">
      <c r="A111" s="478" t="s">
        <v>202</v>
      </c>
      <c r="B111" s="309"/>
      <c r="C111" s="309"/>
      <c r="D111" s="310"/>
      <c r="E111" s="644"/>
      <c r="F111" s="479">
        <v>0.95</v>
      </c>
      <c r="G111" s="480">
        <v>0.95</v>
      </c>
      <c r="H111" s="480">
        <v>0.95</v>
      </c>
      <c r="I111" s="481">
        <f>H111</f>
        <v>0.95</v>
      </c>
      <c r="J111" s="481">
        <f t="shared" ref="J111:O111" si="52">I111</f>
        <v>0.95</v>
      </c>
      <c r="K111" s="481">
        <f t="shared" si="52"/>
        <v>0.95</v>
      </c>
      <c r="L111" s="481">
        <f t="shared" si="52"/>
        <v>0.95</v>
      </c>
      <c r="M111" s="481">
        <f t="shared" si="52"/>
        <v>0.95</v>
      </c>
      <c r="N111" s="481">
        <f t="shared" si="52"/>
        <v>0.95</v>
      </c>
      <c r="O111" s="482">
        <f t="shared" si="52"/>
        <v>0.95</v>
      </c>
      <c r="P111" s="33"/>
      <c r="Q111" s="28"/>
      <c r="R111" s="14"/>
      <c r="S111" s="14"/>
    </row>
    <row r="112" spans="1:19" ht="18" customHeight="1" x14ac:dyDescent="0.3">
      <c r="A112" s="307" t="s">
        <v>126</v>
      </c>
      <c r="B112" s="305"/>
      <c r="C112" s="305"/>
      <c r="D112" s="306"/>
      <c r="E112" s="285">
        <v>0</v>
      </c>
      <c r="F112" s="466">
        <f>-F110*(1-F111)</f>
        <v>0</v>
      </c>
      <c r="G112" s="283">
        <f t="shared" ref="G112:O112" si="53">-G110*(1-G111)</f>
        <v>0</v>
      </c>
      <c r="H112" s="283">
        <f t="shared" si="53"/>
        <v>0</v>
      </c>
      <c r="I112" s="283">
        <f t="shared" si="53"/>
        <v>0</v>
      </c>
      <c r="J112" s="283">
        <f t="shared" si="53"/>
        <v>0</v>
      </c>
      <c r="K112" s="283">
        <f t="shared" si="53"/>
        <v>0</v>
      </c>
      <c r="L112" s="283">
        <f t="shared" si="53"/>
        <v>0</v>
      </c>
      <c r="M112" s="283">
        <f t="shared" si="53"/>
        <v>0</v>
      </c>
      <c r="N112" s="283">
        <f t="shared" si="53"/>
        <v>0</v>
      </c>
      <c r="O112" s="284">
        <f t="shared" si="53"/>
        <v>0</v>
      </c>
      <c r="R112" s="14"/>
      <c r="S112" s="14"/>
    </row>
    <row r="113" spans="1:19" ht="18" customHeight="1" x14ac:dyDescent="0.3">
      <c r="A113" s="483" t="s">
        <v>204</v>
      </c>
      <c r="B113" s="313"/>
      <c r="C113" s="313"/>
      <c r="D113" s="314"/>
      <c r="E113" s="179">
        <f>SUM(E110,E112)</f>
        <v>0</v>
      </c>
      <c r="F113" s="467">
        <f t="shared" ref="F113:O113" si="54">SUM(F110,F112)</f>
        <v>0</v>
      </c>
      <c r="G113" s="180">
        <f t="shared" si="54"/>
        <v>0</v>
      </c>
      <c r="H113" s="180">
        <f t="shared" si="54"/>
        <v>0</v>
      </c>
      <c r="I113" s="180">
        <f t="shared" si="54"/>
        <v>0</v>
      </c>
      <c r="J113" s="180">
        <f t="shared" si="54"/>
        <v>0</v>
      </c>
      <c r="K113" s="180">
        <f t="shared" si="54"/>
        <v>0</v>
      </c>
      <c r="L113" s="180">
        <f t="shared" si="54"/>
        <v>0</v>
      </c>
      <c r="M113" s="180">
        <f t="shared" si="54"/>
        <v>0</v>
      </c>
      <c r="N113" s="180">
        <f t="shared" si="54"/>
        <v>0</v>
      </c>
      <c r="O113" s="181">
        <f t="shared" si="54"/>
        <v>0</v>
      </c>
      <c r="R113" s="14"/>
      <c r="S113" s="14"/>
    </row>
    <row r="114" spans="1:19" ht="18" customHeight="1" x14ac:dyDescent="0.3">
      <c r="A114" s="455" t="s">
        <v>208</v>
      </c>
      <c r="B114" s="495"/>
      <c r="C114" s="235"/>
      <c r="D114" s="493" t="s">
        <v>127</v>
      </c>
      <c r="E114" s="469">
        <f>'Unit Mix'!D20*12</f>
        <v>0</v>
      </c>
      <c r="F114" s="468">
        <f>'Unit Mix'!E20*12</f>
        <v>0</v>
      </c>
      <c r="G114" s="289">
        <f t="shared" ref="G114:O114" si="55">F114*(1+$C$114)</f>
        <v>0</v>
      </c>
      <c r="H114" s="289">
        <f t="shared" si="55"/>
        <v>0</v>
      </c>
      <c r="I114" s="289">
        <f t="shared" si="55"/>
        <v>0</v>
      </c>
      <c r="J114" s="289">
        <f t="shared" si="55"/>
        <v>0</v>
      </c>
      <c r="K114" s="289">
        <f t="shared" si="55"/>
        <v>0</v>
      </c>
      <c r="L114" s="289">
        <f t="shared" si="55"/>
        <v>0</v>
      </c>
      <c r="M114" s="289">
        <f t="shared" si="55"/>
        <v>0</v>
      </c>
      <c r="N114" s="289">
        <f t="shared" si="55"/>
        <v>0</v>
      </c>
      <c r="O114" s="290">
        <f t="shared" si="55"/>
        <v>0</v>
      </c>
      <c r="R114" s="14"/>
      <c r="S114" s="14"/>
    </row>
    <row r="115" spans="1:19" ht="18" customHeight="1" x14ac:dyDescent="0.3">
      <c r="A115" s="503" t="s">
        <v>210</v>
      </c>
      <c r="B115" s="496"/>
      <c r="C115" s="471"/>
      <c r="D115" s="494" t="s">
        <v>207</v>
      </c>
      <c r="E115" s="487">
        <f>-E114*$C$115</f>
        <v>0</v>
      </c>
      <c r="F115" s="502">
        <f t="shared" ref="F115:O115" si="56">-F114*$C$115</f>
        <v>0</v>
      </c>
      <c r="G115" s="500">
        <f t="shared" si="56"/>
        <v>0</v>
      </c>
      <c r="H115" s="500">
        <f t="shared" si="56"/>
        <v>0</v>
      </c>
      <c r="I115" s="500">
        <f t="shared" si="56"/>
        <v>0</v>
      </c>
      <c r="J115" s="500">
        <f t="shared" si="56"/>
        <v>0</v>
      </c>
      <c r="K115" s="500">
        <f t="shared" si="56"/>
        <v>0</v>
      </c>
      <c r="L115" s="500">
        <f t="shared" si="56"/>
        <v>0</v>
      </c>
      <c r="M115" s="500">
        <f t="shared" si="56"/>
        <v>0</v>
      </c>
      <c r="N115" s="500">
        <f t="shared" si="56"/>
        <v>0</v>
      </c>
      <c r="O115" s="501">
        <f t="shared" si="56"/>
        <v>0</v>
      </c>
      <c r="R115" s="14"/>
      <c r="S115" s="14"/>
    </row>
    <row r="116" spans="1:19" ht="18" customHeight="1" x14ac:dyDescent="0.3">
      <c r="A116" s="488" t="s">
        <v>205</v>
      </c>
      <c r="B116" s="312"/>
      <c r="C116" s="492"/>
      <c r="D116" s="314"/>
      <c r="E116" s="179">
        <f>SUM(E114:E115)</f>
        <v>0</v>
      </c>
      <c r="F116" s="467">
        <f t="shared" ref="F116:O116" si="57">SUM(F114:F115)</f>
        <v>0</v>
      </c>
      <c r="G116" s="180">
        <f t="shared" si="57"/>
        <v>0</v>
      </c>
      <c r="H116" s="180">
        <f t="shared" si="57"/>
        <v>0</v>
      </c>
      <c r="I116" s="180">
        <f t="shared" si="57"/>
        <v>0</v>
      </c>
      <c r="J116" s="180">
        <f t="shared" si="57"/>
        <v>0</v>
      </c>
      <c r="K116" s="180">
        <f t="shared" si="57"/>
        <v>0</v>
      </c>
      <c r="L116" s="180">
        <f t="shared" si="57"/>
        <v>0</v>
      </c>
      <c r="M116" s="180">
        <f t="shared" si="57"/>
        <v>0</v>
      </c>
      <c r="N116" s="180">
        <f t="shared" si="57"/>
        <v>0</v>
      </c>
      <c r="O116" s="181">
        <f t="shared" si="57"/>
        <v>0</v>
      </c>
      <c r="R116" s="14"/>
      <c r="S116" s="14"/>
    </row>
    <row r="117" spans="1:19" ht="18" customHeight="1" x14ac:dyDescent="0.3">
      <c r="A117" s="455" t="s">
        <v>209</v>
      </c>
      <c r="B117" s="234"/>
      <c r="C117" s="497">
        <v>0.03</v>
      </c>
      <c r="D117" s="499" t="s">
        <v>127</v>
      </c>
      <c r="E117" s="645"/>
      <c r="F117" s="643"/>
      <c r="G117" s="453">
        <f t="shared" ref="G117:O117" si="58">F117*(1+$C$117)</f>
        <v>0</v>
      </c>
      <c r="H117" s="451">
        <f t="shared" si="58"/>
        <v>0</v>
      </c>
      <c r="I117" s="451">
        <f t="shared" si="58"/>
        <v>0</v>
      </c>
      <c r="J117" s="451">
        <f t="shared" si="58"/>
        <v>0</v>
      </c>
      <c r="K117" s="451">
        <f t="shared" si="58"/>
        <v>0</v>
      </c>
      <c r="L117" s="451">
        <f t="shared" si="58"/>
        <v>0</v>
      </c>
      <c r="M117" s="451">
        <f t="shared" si="58"/>
        <v>0</v>
      </c>
      <c r="N117" s="451">
        <f t="shared" si="58"/>
        <v>0</v>
      </c>
      <c r="O117" s="452">
        <f t="shared" si="58"/>
        <v>0</v>
      </c>
      <c r="R117" s="14"/>
      <c r="S117" s="14"/>
    </row>
    <row r="118" spans="1:19" ht="18" customHeight="1" x14ac:dyDescent="0.3">
      <c r="A118" s="503" t="s">
        <v>211</v>
      </c>
      <c r="B118" s="238"/>
      <c r="C118" s="498">
        <v>0.05</v>
      </c>
      <c r="D118" s="494" t="s">
        <v>207</v>
      </c>
      <c r="E118" s="646">
        <v>0</v>
      </c>
      <c r="F118" s="502">
        <f>-F117*$C$118</f>
        <v>0</v>
      </c>
      <c r="G118" s="500">
        <f t="shared" ref="G118:O118" si="59">-G117*$C$118</f>
        <v>0</v>
      </c>
      <c r="H118" s="500">
        <f t="shared" si="59"/>
        <v>0</v>
      </c>
      <c r="I118" s="500">
        <f t="shared" si="59"/>
        <v>0</v>
      </c>
      <c r="J118" s="500">
        <f t="shared" si="59"/>
        <v>0</v>
      </c>
      <c r="K118" s="500">
        <f t="shared" si="59"/>
        <v>0</v>
      </c>
      <c r="L118" s="500">
        <f t="shared" si="59"/>
        <v>0</v>
      </c>
      <c r="M118" s="500">
        <f t="shared" si="59"/>
        <v>0</v>
      </c>
      <c r="N118" s="500">
        <f t="shared" si="59"/>
        <v>0</v>
      </c>
      <c r="O118" s="501">
        <f t="shared" si="59"/>
        <v>0</v>
      </c>
      <c r="R118" s="14"/>
      <c r="S118" s="14"/>
    </row>
    <row r="119" spans="1:19" ht="18" customHeight="1" x14ac:dyDescent="0.3">
      <c r="A119" s="483" t="s">
        <v>206</v>
      </c>
      <c r="B119" s="492"/>
      <c r="C119" s="492"/>
      <c r="D119" s="314"/>
      <c r="E119" s="179">
        <f>SUM(E117:E118)</f>
        <v>0</v>
      </c>
      <c r="F119" s="467">
        <f t="shared" ref="F119:O119" si="60">SUM(F117:F118)</f>
        <v>0</v>
      </c>
      <c r="G119" s="180">
        <f t="shared" si="60"/>
        <v>0</v>
      </c>
      <c r="H119" s="180">
        <f t="shared" si="60"/>
        <v>0</v>
      </c>
      <c r="I119" s="180">
        <f t="shared" si="60"/>
        <v>0</v>
      </c>
      <c r="J119" s="180">
        <f t="shared" si="60"/>
        <v>0</v>
      </c>
      <c r="K119" s="180">
        <f t="shared" si="60"/>
        <v>0</v>
      </c>
      <c r="L119" s="180">
        <f t="shared" si="60"/>
        <v>0</v>
      </c>
      <c r="M119" s="180">
        <f t="shared" si="60"/>
        <v>0</v>
      </c>
      <c r="N119" s="180">
        <f t="shared" si="60"/>
        <v>0</v>
      </c>
      <c r="O119" s="181">
        <f t="shared" si="60"/>
        <v>0</v>
      </c>
      <c r="R119" s="14"/>
      <c r="S119" s="14"/>
    </row>
    <row r="120" spans="1:19" ht="18" customHeight="1" x14ac:dyDescent="0.3">
      <c r="A120" s="489" t="s">
        <v>196</v>
      </c>
      <c r="B120" s="490"/>
      <c r="C120" s="490"/>
      <c r="D120" s="491"/>
      <c r="E120" s="470">
        <f>SUM(E113,E116,E119)</f>
        <v>0</v>
      </c>
      <c r="F120" s="190">
        <f t="shared" ref="F120:O120" si="61">SUM(F113,F116,F119)</f>
        <v>0</v>
      </c>
      <c r="G120" s="188">
        <f t="shared" si="61"/>
        <v>0</v>
      </c>
      <c r="H120" s="188">
        <f t="shared" si="61"/>
        <v>0</v>
      </c>
      <c r="I120" s="188">
        <f t="shared" si="61"/>
        <v>0</v>
      </c>
      <c r="J120" s="188">
        <f t="shared" si="61"/>
        <v>0</v>
      </c>
      <c r="K120" s="188">
        <f t="shared" si="61"/>
        <v>0</v>
      </c>
      <c r="L120" s="188">
        <f t="shared" si="61"/>
        <v>0</v>
      </c>
      <c r="M120" s="188">
        <f t="shared" si="61"/>
        <v>0</v>
      </c>
      <c r="N120" s="188">
        <f t="shared" si="61"/>
        <v>0</v>
      </c>
      <c r="O120" s="189">
        <f t="shared" si="61"/>
        <v>0</v>
      </c>
      <c r="P120" s="58">
        <v>11</v>
      </c>
      <c r="Q120" s="58">
        <v>12</v>
      </c>
    </row>
    <row r="121" spans="1:19" ht="18" customHeight="1" x14ac:dyDescent="0.3">
      <c r="A121" s="318" t="s">
        <v>237</v>
      </c>
      <c r="B121" s="311"/>
      <c r="C121" s="311"/>
      <c r="D121" s="582"/>
      <c r="E121" s="182">
        <f>IF($E$9=0,0,E110/$E$9/12)</f>
        <v>0</v>
      </c>
      <c r="F121" s="185">
        <f t="shared" ref="F121:O121" si="62">IF($E$9=0,0,F110/$E$9/12)</f>
        <v>0</v>
      </c>
      <c r="G121" s="183">
        <f t="shared" si="62"/>
        <v>0</v>
      </c>
      <c r="H121" s="183">
        <f t="shared" si="62"/>
        <v>0</v>
      </c>
      <c r="I121" s="183">
        <f t="shared" si="62"/>
        <v>0</v>
      </c>
      <c r="J121" s="183">
        <f t="shared" si="62"/>
        <v>0</v>
      </c>
      <c r="K121" s="183">
        <f t="shared" si="62"/>
        <v>0</v>
      </c>
      <c r="L121" s="183">
        <f t="shared" si="62"/>
        <v>0</v>
      </c>
      <c r="M121" s="183">
        <f t="shared" si="62"/>
        <v>0</v>
      </c>
      <c r="N121" s="183">
        <f t="shared" si="62"/>
        <v>0</v>
      </c>
      <c r="O121" s="184">
        <f t="shared" si="62"/>
        <v>0</v>
      </c>
      <c r="R121" s="16"/>
      <c r="S121" s="16"/>
    </row>
    <row r="122" spans="1:19" ht="18" customHeight="1" x14ac:dyDescent="0.3">
      <c r="A122" s="213"/>
      <c r="B122" s="14"/>
      <c r="D122" s="59"/>
      <c r="E122" s="59"/>
      <c r="F122" s="59"/>
      <c r="G122" s="31"/>
      <c r="H122" s="31"/>
      <c r="I122" s="31"/>
      <c r="J122" s="31"/>
      <c r="K122" s="31"/>
      <c r="L122" s="31"/>
      <c r="M122" s="31"/>
      <c r="N122" s="31"/>
      <c r="O122" s="31"/>
      <c r="P122" s="58"/>
      <c r="Q122" s="58"/>
    </row>
    <row r="123" spans="1:19" ht="18" customHeight="1" x14ac:dyDescent="0.3">
      <c r="A123" s="169" t="s">
        <v>123</v>
      </c>
      <c r="D123" s="440" t="s">
        <v>6</v>
      </c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8">
        <v>11</v>
      </c>
      <c r="Q123" s="58">
        <v>12</v>
      </c>
    </row>
    <row r="124" spans="1:19" ht="18" customHeight="1" x14ac:dyDescent="0.3">
      <c r="A124" s="315" t="s">
        <v>129</v>
      </c>
      <c r="B124" s="320">
        <v>0.03</v>
      </c>
      <c r="C124" s="328" t="s">
        <v>127</v>
      </c>
      <c r="D124" s="321">
        <f t="shared" ref="D124:D137" si="63">IF($E$11=0,0,E124/$E$11)</f>
        <v>0</v>
      </c>
      <c r="E124" s="572"/>
      <c r="F124" s="572"/>
      <c r="G124" s="279">
        <f>F124*(1+$B124)</f>
        <v>0</v>
      </c>
      <c r="H124" s="279">
        <f t="shared" ref="H124:O124" si="64">G124*(1+$B124)</f>
        <v>0</v>
      </c>
      <c r="I124" s="279">
        <f t="shared" si="64"/>
        <v>0</v>
      </c>
      <c r="J124" s="279">
        <f t="shared" si="64"/>
        <v>0</v>
      </c>
      <c r="K124" s="279">
        <f t="shared" si="64"/>
        <v>0</v>
      </c>
      <c r="L124" s="279">
        <f t="shared" si="64"/>
        <v>0</v>
      </c>
      <c r="M124" s="279">
        <f t="shared" si="64"/>
        <v>0</v>
      </c>
      <c r="N124" s="279">
        <f t="shared" si="64"/>
        <v>0</v>
      </c>
      <c r="O124" s="280">
        <f t="shared" si="64"/>
        <v>0</v>
      </c>
      <c r="R124" s="34"/>
      <c r="S124" s="34"/>
    </row>
    <row r="125" spans="1:19" ht="18" customHeight="1" x14ac:dyDescent="0.3">
      <c r="A125" s="326" t="s">
        <v>130</v>
      </c>
      <c r="B125" s="320">
        <v>0.03</v>
      </c>
      <c r="C125" s="327" t="s">
        <v>127</v>
      </c>
      <c r="D125" s="322">
        <f t="shared" si="63"/>
        <v>0</v>
      </c>
      <c r="E125" s="281"/>
      <c r="F125" s="576"/>
      <c r="G125" s="283">
        <f t="shared" ref="G125:O136" si="65">F125*(1+$B125)</f>
        <v>0</v>
      </c>
      <c r="H125" s="283">
        <f t="shared" si="65"/>
        <v>0</v>
      </c>
      <c r="I125" s="283">
        <f t="shared" si="65"/>
        <v>0</v>
      </c>
      <c r="J125" s="283">
        <f t="shared" si="65"/>
        <v>0</v>
      </c>
      <c r="K125" s="283">
        <f t="shared" si="65"/>
        <v>0</v>
      </c>
      <c r="L125" s="283">
        <f t="shared" si="65"/>
        <v>0</v>
      </c>
      <c r="M125" s="283">
        <f t="shared" si="65"/>
        <v>0</v>
      </c>
      <c r="N125" s="283">
        <f t="shared" si="65"/>
        <v>0</v>
      </c>
      <c r="O125" s="284">
        <f t="shared" si="65"/>
        <v>0</v>
      </c>
      <c r="R125" s="34"/>
      <c r="S125" s="34"/>
    </row>
    <row r="126" spans="1:19" ht="18" customHeight="1" x14ac:dyDescent="0.3">
      <c r="A126" s="327" t="s">
        <v>133</v>
      </c>
      <c r="B126" s="320">
        <v>0.03</v>
      </c>
      <c r="C126" s="327" t="s">
        <v>127</v>
      </c>
      <c r="D126" s="322">
        <f t="shared" si="63"/>
        <v>0</v>
      </c>
      <c r="E126" s="281"/>
      <c r="F126" s="576"/>
      <c r="G126" s="283">
        <f t="shared" ref="G126:O126" si="66">F126*(1+$B126)</f>
        <v>0</v>
      </c>
      <c r="H126" s="283">
        <f t="shared" si="66"/>
        <v>0</v>
      </c>
      <c r="I126" s="283">
        <f t="shared" si="66"/>
        <v>0</v>
      </c>
      <c r="J126" s="283">
        <f t="shared" si="66"/>
        <v>0</v>
      </c>
      <c r="K126" s="283">
        <f t="shared" si="66"/>
        <v>0</v>
      </c>
      <c r="L126" s="283">
        <f t="shared" si="66"/>
        <v>0</v>
      </c>
      <c r="M126" s="283">
        <f t="shared" si="66"/>
        <v>0</v>
      </c>
      <c r="N126" s="283">
        <f t="shared" si="66"/>
        <v>0</v>
      </c>
      <c r="O126" s="284">
        <f t="shared" si="66"/>
        <v>0</v>
      </c>
      <c r="R126" s="34"/>
      <c r="S126" s="34"/>
    </row>
    <row r="127" spans="1:19" ht="18" customHeight="1" x14ac:dyDescent="0.3">
      <c r="A127" s="327" t="s">
        <v>133</v>
      </c>
      <c r="B127" s="320">
        <v>0.05</v>
      </c>
      <c r="C127" s="507" t="s">
        <v>214</v>
      </c>
      <c r="D127" s="322">
        <f t="shared" si="63"/>
        <v>0</v>
      </c>
      <c r="E127" s="508">
        <f t="shared" ref="E127:O127" si="67">IF(E126&gt;0,0,$B$127*E120)</f>
        <v>0</v>
      </c>
      <c r="F127" s="573">
        <f t="shared" si="67"/>
        <v>0</v>
      </c>
      <c r="G127" s="574">
        <f t="shared" si="67"/>
        <v>0</v>
      </c>
      <c r="H127" s="574">
        <f t="shared" si="67"/>
        <v>0</v>
      </c>
      <c r="I127" s="574">
        <f t="shared" si="67"/>
        <v>0</v>
      </c>
      <c r="J127" s="574">
        <f t="shared" si="67"/>
        <v>0</v>
      </c>
      <c r="K127" s="574">
        <f t="shared" si="67"/>
        <v>0</v>
      </c>
      <c r="L127" s="574">
        <f t="shared" si="67"/>
        <v>0</v>
      </c>
      <c r="M127" s="574">
        <f t="shared" si="67"/>
        <v>0</v>
      </c>
      <c r="N127" s="574">
        <f t="shared" si="67"/>
        <v>0</v>
      </c>
      <c r="O127" s="575">
        <f t="shared" si="67"/>
        <v>0</v>
      </c>
      <c r="R127" s="34"/>
      <c r="S127" s="34"/>
    </row>
    <row r="128" spans="1:19" ht="18" customHeight="1" x14ac:dyDescent="0.3">
      <c r="A128" s="327" t="s">
        <v>131</v>
      </c>
      <c r="B128" s="320">
        <v>0.03</v>
      </c>
      <c r="C128" s="327" t="s">
        <v>127</v>
      </c>
      <c r="D128" s="322">
        <f t="shared" si="63"/>
        <v>0</v>
      </c>
      <c r="E128" s="281"/>
      <c r="F128" s="576"/>
      <c r="G128" s="283">
        <f t="shared" si="65"/>
        <v>0</v>
      </c>
      <c r="H128" s="283">
        <f t="shared" si="65"/>
        <v>0</v>
      </c>
      <c r="I128" s="283">
        <f t="shared" si="65"/>
        <v>0</v>
      </c>
      <c r="J128" s="283">
        <f t="shared" si="65"/>
        <v>0</v>
      </c>
      <c r="K128" s="283">
        <f t="shared" si="65"/>
        <v>0</v>
      </c>
      <c r="L128" s="283">
        <f t="shared" si="65"/>
        <v>0</v>
      </c>
      <c r="M128" s="283">
        <f t="shared" si="65"/>
        <v>0</v>
      </c>
      <c r="N128" s="283">
        <f t="shared" si="65"/>
        <v>0</v>
      </c>
      <c r="O128" s="284">
        <f t="shared" si="65"/>
        <v>0</v>
      </c>
      <c r="R128" s="34"/>
      <c r="S128" s="34"/>
    </row>
    <row r="129" spans="1:19" ht="18" customHeight="1" x14ac:dyDescent="0.3">
      <c r="A129" s="327" t="s">
        <v>132</v>
      </c>
      <c r="B129" s="320">
        <v>0.03</v>
      </c>
      <c r="C129" s="327" t="s">
        <v>127</v>
      </c>
      <c r="D129" s="322">
        <f t="shared" si="63"/>
        <v>0</v>
      </c>
      <c r="E129" s="281"/>
      <c r="F129" s="576"/>
      <c r="G129" s="283">
        <f t="shared" si="65"/>
        <v>0</v>
      </c>
      <c r="H129" s="283">
        <f t="shared" si="65"/>
        <v>0</v>
      </c>
      <c r="I129" s="283">
        <f t="shared" si="65"/>
        <v>0</v>
      </c>
      <c r="J129" s="283">
        <f t="shared" si="65"/>
        <v>0</v>
      </c>
      <c r="K129" s="283">
        <f t="shared" si="65"/>
        <v>0</v>
      </c>
      <c r="L129" s="283">
        <f t="shared" si="65"/>
        <v>0</v>
      </c>
      <c r="M129" s="283">
        <f t="shared" si="65"/>
        <v>0</v>
      </c>
      <c r="N129" s="283">
        <f t="shared" si="65"/>
        <v>0</v>
      </c>
      <c r="O129" s="284">
        <f t="shared" si="65"/>
        <v>0</v>
      </c>
      <c r="R129" s="34"/>
      <c r="S129" s="34"/>
    </row>
    <row r="130" spans="1:19" ht="18" customHeight="1" x14ac:dyDescent="0.3">
      <c r="A130" s="326" t="s">
        <v>176</v>
      </c>
      <c r="B130" s="320">
        <v>0.03</v>
      </c>
      <c r="C130" s="327" t="s">
        <v>127</v>
      </c>
      <c r="D130" s="322">
        <f t="shared" si="63"/>
        <v>0</v>
      </c>
      <c r="E130" s="281"/>
      <c r="F130" s="576"/>
      <c r="G130" s="283">
        <f t="shared" si="65"/>
        <v>0</v>
      </c>
      <c r="H130" s="283">
        <f t="shared" si="65"/>
        <v>0</v>
      </c>
      <c r="I130" s="283">
        <f t="shared" si="65"/>
        <v>0</v>
      </c>
      <c r="J130" s="283">
        <f t="shared" si="65"/>
        <v>0</v>
      </c>
      <c r="K130" s="283">
        <f t="shared" si="65"/>
        <v>0</v>
      </c>
      <c r="L130" s="283">
        <f t="shared" si="65"/>
        <v>0</v>
      </c>
      <c r="M130" s="283">
        <f t="shared" si="65"/>
        <v>0</v>
      </c>
      <c r="N130" s="283">
        <f t="shared" si="65"/>
        <v>0</v>
      </c>
      <c r="O130" s="284">
        <f t="shared" si="65"/>
        <v>0</v>
      </c>
      <c r="R130" s="34"/>
      <c r="S130" s="34"/>
    </row>
    <row r="131" spans="1:19" ht="18" customHeight="1" x14ac:dyDescent="0.3">
      <c r="A131" s="326" t="s">
        <v>174</v>
      </c>
      <c r="B131" s="320">
        <v>0.03</v>
      </c>
      <c r="C131" s="327" t="s">
        <v>127</v>
      </c>
      <c r="D131" s="322">
        <f t="shared" si="63"/>
        <v>0</v>
      </c>
      <c r="E131" s="281"/>
      <c r="F131" s="576"/>
      <c r="G131" s="283">
        <f t="shared" ref="G131:G132" si="68">F131*(1+$B131)</f>
        <v>0</v>
      </c>
      <c r="H131" s="283">
        <f t="shared" ref="H131:H134" si="69">G131*(1+$B131)</f>
        <v>0</v>
      </c>
      <c r="I131" s="283">
        <f t="shared" ref="I131:I134" si="70">H131*(1+$B131)</f>
        <v>0</v>
      </c>
      <c r="J131" s="283">
        <f t="shared" ref="J131:J134" si="71">I131*(1+$B131)</f>
        <v>0</v>
      </c>
      <c r="K131" s="283">
        <f t="shared" ref="K131:K134" si="72">J131*(1+$B131)</f>
        <v>0</v>
      </c>
      <c r="L131" s="283">
        <f t="shared" ref="L131:L134" si="73">K131*(1+$B131)</f>
        <v>0</v>
      </c>
      <c r="M131" s="283">
        <f t="shared" ref="M131:M134" si="74">L131*(1+$B131)</f>
        <v>0</v>
      </c>
      <c r="N131" s="283">
        <f t="shared" ref="N131:N134" si="75">M131*(1+$B131)</f>
        <v>0</v>
      </c>
      <c r="O131" s="284">
        <f t="shared" ref="O131:O134" si="76">N131*(1+$B131)</f>
        <v>0</v>
      </c>
      <c r="R131" s="34"/>
      <c r="S131" s="34"/>
    </row>
    <row r="132" spans="1:19" ht="18" customHeight="1" x14ac:dyDescent="0.3">
      <c r="A132" s="326" t="s">
        <v>175</v>
      </c>
      <c r="B132" s="320">
        <v>0.03</v>
      </c>
      <c r="C132" s="327" t="s">
        <v>127</v>
      </c>
      <c r="D132" s="322">
        <f t="shared" si="63"/>
        <v>0</v>
      </c>
      <c r="E132" s="281"/>
      <c r="F132" s="576"/>
      <c r="G132" s="283">
        <f t="shared" si="68"/>
        <v>0</v>
      </c>
      <c r="H132" s="283">
        <f t="shared" si="69"/>
        <v>0</v>
      </c>
      <c r="I132" s="283">
        <f t="shared" si="70"/>
        <v>0</v>
      </c>
      <c r="J132" s="283">
        <f t="shared" si="71"/>
        <v>0</v>
      </c>
      <c r="K132" s="283">
        <f t="shared" si="72"/>
        <v>0</v>
      </c>
      <c r="L132" s="283">
        <f t="shared" si="73"/>
        <v>0</v>
      </c>
      <c r="M132" s="283">
        <f t="shared" si="74"/>
        <v>0</v>
      </c>
      <c r="N132" s="283">
        <f t="shared" si="75"/>
        <v>0</v>
      </c>
      <c r="O132" s="284">
        <f t="shared" si="76"/>
        <v>0</v>
      </c>
      <c r="R132" s="34"/>
      <c r="S132" s="34"/>
    </row>
    <row r="133" spans="1:19" ht="18" customHeight="1" x14ac:dyDescent="0.3">
      <c r="A133" s="504" t="s">
        <v>212</v>
      </c>
      <c r="B133" s="320">
        <v>0.03</v>
      </c>
      <c r="C133" s="504" t="s">
        <v>127</v>
      </c>
      <c r="D133" s="322">
        <f t="shared" si="63"/>
        <v>0</v>
      </c>
      <c r="E133" s="281"/>
      <c r="F133" s="576"/>
      <c r="G133" s="283">
        <f t="shared" ref="G133:G134" si="77">F133*(1+$B133)</f>
        <v>0</v>
      </c>
      <c r="H133" s="283">
        <f t="shared" ref="H133" si="78">G133*(1+$B133)</f>
        <v>0</v>
      </c>
      <c r="I133" s="283">
        <f t="shared" ref="I133" si="79">H133*(1+$B133)</f>
        <v>0</v>
      </c>
      <c r="J133" s="283">
        <f t="shared" ref="J133" si="80">I133*(1+$B133)</f>
        <v>0</v>
      </c>
      <c r="K133" s="283">
        <f t="shared" ref="K133" si="81">J133*(1+$B133)</f>
        <v>0</v>
      </c>
      <c r="L133" s="283">
        <f t="shared" ref="L133" si="82">K133*(1+$B133)</f>
        <v>0</v>
      </c>
      <c r="M133" s="283">
        <f t="shared" ref="M133" si="83">L133*(1+$B133)</f>
        <v>0</v>
      </c>
      <c r="N133" s="283">
        <f t="shared" ref="N133" si="84">M133*(1+$B133)</f>
        <v>0</v>
      </c>
      <c r="O133" s="284">
        <f t="shared" ref="O133" si="85">N133*(1+$B133)</f>
        <v>0</v>
      </c>
      <c r="R133" s="34"/>
      <c r="S133" s="34"/>
    </row>
    <row r="134" spans="1:19" ht="18" customHeight="1" x14ac:dyDescent="0.3">
      <c r="A134" s="327" t="s">
        <v>134</v>
      </c>
      <c r="B134" s="320">
        <v>0.03</v>
      </c>
      <c r="C134" s="327" t="s">
        <v>127</v>
      </c>
      <c r="D134" s="322">
        <f t="shared" si="63"/>
        <v>0</v>
      </c>
      <c r="E134" s="281"/>
      <c r="F134" s="576"/>
      <c r="G134" s="283">
        <f t="shared" si="77"/>
        <v>0</v>
      </c>
      <c r="H134" s="283">
        <f t="shared" si="69"/>
        <v>0</v>
      </c>
      <c r="I134" s="283">
        <f t="shared" si="70"/>
        <v>0</v>
      </c>
      <c r="J134" s="283">
        <f t="shared" si="71"/>
        <v>0</v>
      </c>
      <c r="K134" s="283">
        <f t="shared" si="72"/>
        <v>0</v>
      </c>
      <c r="L134" s="283">
        <f t="shared" si="73"/>
        <v>0</v>
      </c>
      <c r="M134" s="283">
        <f t="shared" si="74"/>
        <v>0</v>
      </c>
      <c r="N134" s="283">
        <f t="shared" si="75"/>
        <v>0</v>
      </c>
      <c r="O134" s="284">
        <f t="shared" si="76"/>
        <v>0</v>
      </c>
      <c r="R134" s="34"/>
      <c r="S134" s="34"/>
    </row>
    <row r="135" spans="1:19" ht="18" customHeight="1" x14ac:dyDescent="0.3">
      <c r="A135" s="327" t="s">
        <v>135</v>
      </c>
      <c r="B135" s="320">
        <v>0.03</v>
      </c>
      <c r="C135" s="327" t="s">
        <v>127</v>
      </c>
      <c r="D135" s="322">
        <f t="shared" si="63"/>
        <v>0</v>
      </c>
      <c r="E135" s="281"/>
      <c r="F135" s="576"/>
      <c r="G135" s="283">
        <f t="shared" si="65"/>
        <v>0</v>
      </c>
      <c r="H135" s="283">
        <f t="shared" si="65"/>
        <v>0</v>
      </c>
      <c r="I135" s="283">
        <f t="shared" si="65"/>
        <v>0</v>
      </c>
      <c r="J135" s="283">
        <f t="shared" si="65"/>
        <v>0</v>
      </c>
      <c r="K135" s="283">
        <f t="shared" si="65"/>
        <v>0</v>
      </c>
      <c r="L135" s="283">
        <f t="shared" si="65"/>
        <v>0</v>
      </c>
      <c r="M135" s="283">
        <f t="shared" si="65"/>
        <v>0</v>
      </c>
      <c r="N135" s="283">
        <f t="shared" si="65"/>
        <v>0</v>
      </c>
      <c r="O135" s="284">
        <f t="shared" si="65"/>
        <v>0</v>
      </c>
      <c r="R135" s="34"/>
      <c r="S135" s="34"/>
    </row>
    <row r="136" spans="1:19" ht="18" customHeight="1" x14ac:dyDescent="0.3">
      <c r="A136" s="316" t="s">
        <v>136</v>
      </c>
      <c r="B136" s="325">
        <v>0.03</v>
      </c>
      <c r="C136" s="316" t="s">
        <v>127</v>
      </c>
      <c r="D136" s="323">
        <f t="shared" si="63"/>
        <v>0</v>
      </c>
      <c r="E136" s="285"/>
      <c r="F136" s="577"/>
      <c r="G136" s="287">
        <f t="shared" si="65"/>
        <v>0</v>
      </c>
      <c r="H136" s="287">
        <f t="shared" si="65"/>
        <v>0</v>
      </c>
      <c r="I136" s="287">
        <f t="shared" si="65"/>
        <v>0</v>
      </c>
      <c r="J136" s="287">
        <f t="shared" si="65"/>
        <v>0</v>
      </c>
      <c r="K136" s="287">
        <f t="shared" si="65"/>
        <v>0</v>
      </c>
      <c r="L136" s="287">
        <f t="shared" si="65"/>
        <v>0</v>
      </c>
      <c r="M136" s="287">
        <f t="shared" si="65"/>
        <v>0</v>
      </c>
      <c r="N136" s="287">
        <f t="shared" si="65"/>
        <v>0</v>
      </c>
      <c r="O136" s="288">
        <f t="shared" si="65"/>
        <v>0</v>
      </c>
      <c r="R136" s="34"/>
      <c r="S136" s="34"/>
    </row>
    <row r="137" spans="1:19" ht="18" customHeight="1" x14ac:dyDescent="0.3">
      <c r="A137" s="319" t="s">
        <v>197</v>
      </c>
      <c r="B137" s="139"/>
      <c r="C137" s="317"/>
      <c r="D137" s="324">
        <f t="shared" si="63"/>
        <v>0</v>
      </c>
      <c r="E137" s="186">
        <f t="shared" ref="E137:O137" si="86">SUM(E124:E136)</f>
        <v>0</v>
      </c>
      <c r="F137" s="190">
        <f t="shared" si="86"/>
        <v>0</v>
      </c>
      <c r="G137" s="188">
        <f t="shared" si="86"/>
        <v>0</v>
      </c>
      <c r="H137" s="188">
        <f t="shared" si="86"/>
        <v>0</v>
      </c>
      <c r="I137" s="188">
        <f t="shared" si="86"/>
        <v>0</v>
      </c>
      <c r="J137" s="188">
        <f t="shared" si="86"/>
        <v>0</v>
      </c>
      <c r="K137" s="188">
        <f t="shared" si="86"/>
        <v>0</v>
      </c>
      <c r="L137" s="188">
        <f t="shared" si="86"/>
        <v>0</v>
      </c>
      <c r="M137" s="188">
        <f t="shared" si="86"/>
        <v>0</v>
      </c>
      <c r="N137" s="188">
        <f t="shared" si="86"/>
        <v>0</v>
      </c>
      <c r="O137" s="189">
        <f t="shared" si="86"/>
        <v>0</v>
      </c>
      <c r="P137" s="58">
        <v>11</v>
      </c>
      <c r="Q137" s="58">
        <v>12</v>
      </c>
    </row>
    <row r="138" spans="1:19" ht="18" customHeight="1" x14ac:dyDescent="0.3">
      <c r="A138" s="318" t="s">
        <v>236</v>
      </c>
      <c r="B138" s="329"/>
      <c r="C138" s="329"/>
      <c r="D138" s="330"/>
      <c r="E138" s="182">
        <f t="shared" ref="E138:O138" si="87">IF($E$11=0,0,E137/$E$11)</f>
        <v>0</v>
      </c>
      <c r="F138" s="185">
        <f t="shared" si="87"/>
        <v>0</v>
      </c>
      <c r="G138" s="183">
        <f t="shared" si="87"/>
        <v>0</v>
      </c>
      <c r="H138" s="183">
        <f t="shared" si="87"/>
        <v>0</v>
      </c>
      <c r="I138" s="183">
        <f t="shared" si="87"/>
        <v>0</v>
      </c>
      <c r="J138" s="183">
        <f t="shared" si="87"/>
        <v>0</v>
      </c>
      <c r="K138" s="183">
        <f t="shared" si="87"/>
        <v>0</v>
      </c>
      <c r="L138" s="183">
        <f t="shared" si="87"/>
        <v>0</v>
      </c>
      <c r="M138" s="183">
        <f t="shared" si="87"/>
        <v>0</v>
      </c>
      <c r="N138" s="183">
        <f t="shared" si="87"/>
        <v>0</v>
      </c>
      <c r="O138" s="184">
        <f t="shared" si="87"/>
        <v>0</v>
      </c>
      <c r="R138" s="34"/>
      <c r="S138" s="34"/>
    </row>
    <row r="139" spans="1:19" ht="18" customHeight="1" x14ac:dyDescent="0.3">
      <c r="A139" s="73"/>
      <c r="B139" s="73"/>
      <c r="C139" s="73"/>
      <c r="D139" s="35"/>
      <c r="E139" s="170"/>
      <c r="F139" s="170"/>
      <c r="G139" s="170"/>
      <c r="H139" s="170"/>
      <c r="I139" s="170"/>
      <c r="J139" s="170"/>
      <c r="K139" s="170"/>
      <c r="L139" s="170"/>
      <c r="M139" s="170"/>
      <c r="N139" s="170"/>
      <c r="O139" s="170"/>
      <c r="R139" s="34"/>
      <c r="S139" s="34"/>
    </row>
    <row r="140" spans="1:19" ht="18" customHeight="1" x14ac:dyDescent="0.35">
      <c r="A140" s="331" t="s">
        <v>125</v>
      </c>
      <c r="B140" s="332"/>
      <c r="C140" s="332"/>
      <c r="D140" s="333"/>
      <c r="E140" s="334">
        <f t="shared" ref="E140:O140" si="88">E120-E137</f>
        <v>0</v>
      </c>
      <c r="F140" s="334">
        <f t="shared" si="88"/>
        <v>0</v>
      </c>
      <c r="G140" s="335">
        <f t="shared" si="88"/>
        <v>0</v>
      </c>
      <c r="H140" s="335">
        <f t="shared" si="88"/>
        <v>0</v>
      </c>
      <c r="I140" s="335">
        <f t="shared" si="88"/>
        <v>0</v>
      </c>
      <c r="J140" s="335">
        <f t="shared" si="88"/>
        <v>0</v>
      </c>
      <c r="K140" s="335">
        <f t="shared" si="88"/>
        <v>0</v>
      </c>
      <c r="L140" s="335">
        <f t="shared" si="88"/>
        <v>0</v>
      </c>
      <c r="M140" s="335">
        <f t="shared" si="88"/>
        <v>0</v>
      </c>
      <c r="N140" s="335">
        <f t="shared" si="88"/>
        <v>0</v>
      </c>
      <c r="O140" s="335">
        <f t="shared" si="88"/>
        <v>0</v>
      </c>
      <c r="R140" s="34"/>
      <c r="S140" s="34"/>
    </row>
    <row r="141" spans="1:19" ht="18" customHeight="1" x14ac:dyDescent="0.3">
      <c r="C141" s="16"/>
      <c r="D141" s="35"/>
      <c r="E141" s="31"/>
      <c r="M141" s="12"/>
      <c r="N141" s="12"/>
      <c r="R141" s="34"/>
      <c r="S141" s="34"/>
    </row>
    <row r="142" spans="1:19" ht="18" customHeight="1" x14ac:dyDescent="0.3">
      <c r="M142" s="12"/>
      <c r="N142" s="12"/>
      <c r="R142" s="16"/>
      <c r="S142" s="16"/>
    </row>
    <row r="143" spans="1:19" ht="18" customHeight="1" x14ac:dyDescent="0.3">
      <c r="E143" s="36"/>
      <c r="F143" s="36"/>
      <c r="G143" s="36"/>
      <c r="M143" s="12"/>
      <c r="N143" s="12"/>
      <c r="R143" s="16"/>
      <c r="S143" s="16"/>
    </row>
    <row r="144" spans="1:19" s="100" customFormat="1" ht="18" customHeight="1" x14ac:dyDescent="0.3">
      <c r="A144" s="664" t="s">
        <v>43</v>
      </c>
      <c r="B144" s="664"/>
      <c r="R144" s="101"/>
      <c r="S144" s="101"/>
    </row>
    <row r="145" spans="1:19" s="100" customFormat="1" ht="18" customHeight="1" x14ac:dyDescent="0.3">
      <c r="A145" s="664"/>
      <c r="B145" s="664"/>
      <c r="D145" s="247" t="s">
        <v>71</v>
      </c>
      <c r="F145" s="247" t="s">
        <v>56</v>
      </c>
      <c r="R145" s="101"/>
      <c r="S145" s="101"/>
    </row>
    <row r="146" spans="1:19" s="100" customFormat="1" ht="18" customHeight="1" x14ac:dyDescent="0.3">
      <c r="A146" s="664"/>
      <c r="B146" s="664"/>
      <c r="D146" s="102">
        <v>0</v>
      </c>
      <c r="F146" s="102" t="s">
        <v>57</v>
      </c>
    </row>
    <row r="147" spans="1:19" s="100" customFormat="1" ht="18" customHeight="1" x14ac:dyDescent="0.3">
      <c r="A147" s="664"/>
      <c r="B147" s="664"/>
      <c r="D147" s="103">
        <v>1</v>
      </c>
      <c r="F147" s="103" t="s">
        <v>60</v>
      </c>
    </row>
    <row r="148" spans="1:19" s="100" customFormat="1" ht="18" customHeight="1" x14ac:dyDescent="0.3">
      <c r="A148" s="664"/>
      <c r="B148" s="664"/>
      <c r="D148" s="103">
        <v>2</v>
      </c>
      <c r="F148" s="103" t="s">
        <v>59</v>
      </c>
    </row>
    <row r="149" spans="1:19" s="100" customFormat="1" ht="18" customHeight="1" x14ac:dyDescent="0.3">
      <c r="A149" s="664"/>
      <c r="B149" s="664"/>
      <c r="D149" s="104">
        <v>3</v>
      </c>
      <c r="F149" s="103" t="s">
        <v>53</v>
      </c>
    </row>
    <row r="150" spans="1:19" s="100" customFormat="1" ht="18" customHeight="1" x14ac:dyDescent="0.3">
      <c r="A150" s="664"/>
      <c r="B150" s="664"/>
      <c r="F150" s="103" t="s">
        <v>52</v>
      </c>
    </row>
    <row r="151" spans="1:19" s="100" customFormat="1" ht="18" customHeight="1" x14ac:dyDescent="0.3">
      <c r="A151" s="664"/>
      <c r="B151" s="664"/>
      <c r="F151" s="103" t="s">
        <v>61</v>
      </c>
    </row>
    <row r="152" spans="1:19" s="100" customFormat="1" ht="18" customHeight="1" x14ac:dyDescent="0.3">
      <c r="A152" s="664"/>
      <c r="B152" s="664"/>
      <c r="F152" s="104" t="s">
        <v>58</v>
      </c>
    </row>
    <row r="153" spans="1:19" s="100" customFormat="1" ht="18" customHeight="1" x14ac:dyDescent="0.3">
      <c r="A153" s="664"/>
      <c r="B153" s="664"/>
    </row>
    <row r="154" spans="1:19" ht="18" customHeight="1" x14ac:dyDescent="0.3">
      <c r="M154" s="12"/>
      <c r="N154" s="12"/>
    </row>
    <row r="155" spans="1:19" ht="18" customHeight="1" x14ac:dyDescent="0.3">
      <c r="M155" s="12"/>
      <c r="N155" s="12"/>
    </row>
    <row r="156" spans="1:19" ht="18" customHeight="1" x14ac:dyDescent="0.3">
      <c r="M156" s="12"/>
      <c r="N156" s="12"/>
    </row>
    <row r="157" spans="1:19" ht="18" customHeight="1" x14ac:dyDescent="0.3">
      <c r="M157" s="12"/>
      <c r="N157" s="12"/>
    </row>
  </sheetData>
  <mergeCells count="36">
    <mergeCell ref="H9:I9"/>
    <mergeCell ref="C69:F69"/>
    <mergeCell ref="L69:O69"/>
    <mergeCell ref="K69:K70"/>
    <mergeCell ref="K90:K91"/>
    <mergeCell ref="L90:O90"/>
    <mergeCell ref="G69:J69"/>
    <mergeCell ref="F105:H105"/>
    <mergeCell ref="C90:F90"/>
    <mergeCell ref="G90:J90"/>
    <mergeCell ref="A101:O101"/>
    <mergeCell ref="N57:O57"/>
    <mergeCell ref="A5:F5"/>
    <mergeCell ref="C34:D34"/>
    <mergeCell ref="B31:B35"/>
    <mergeCell ref="C35:D35"/>
    <mergeCell ref="A144:B153"/>
    <mergeCell ref="A67:O67"/>
    <mergeCell ref="F65:N65"/>
    <mergeCell ref="A38:O38"/>
    <mergeCell ref="D54:E54"/>
    <mergeCell ref="G5:O5"/>
    <mergeCell ref="C57:D57"/>
    <mergeCell ref="H32:I32"/>
    <mergeCell ref="H10:I10"/>
    <mergeCell ref="H20:I20"/>
    <mergeCell ref="H31:I31"/>
    <mergeCell ref="D9:D11"/>
    <mergeCell ref="A3:O3"/>
    <mergeCell ref="A1:O1"/>
    <mergeCell ref="C2:D2"/>
    <mergeCell ref="E2:G2"/>
    <mergeCell ref="H2:I2"/>
    <mergeCell ref="K2:L2"/>
    <mergeCell ref="A2:B2"/>
    <mergeCell ref="N2:O2"/>
  </mergeCells>
  <conditionalFormatting sqref="C81:O81">
    <cfRule type="cellIs" dxfId="11" priority="9" operator="lessThan">
      <formula>0</formula>
    </cfRule>
    <cfRule type="cellIs" dxfId="10" priority="17" operator="greaterThanOrEqual">
      <formula>0</formula>
    </cfRule>
  </conditionalFormatting>
  <conditionalFormatting sqref="C82:O82">
    <cfRule type="expression" dxfId="9" priority="6">
      <formula>C$82&gt;3*C$84</formula>
    </cfRule>
    <cfRule type="expression" dxfId="8" priority="7">
      <formula>AND(C$82&gt;C$84,C$82&lt;=3*C$84)</formula>
    </cfRule>
    <cfRule type="expression" dxfId="7" priority="8">
      <formula>C$82&lt;=C$84</formula>
    </cfRule>
  </conditionalFormatting>
  <conditionalFormatting sqref="C83:O83">
    <cfRule type="cellIs" dxfId="6" priority="14" operator="between">
      <formula>0</formula>
      <formula>0.1</formula>
    </cfRule>
    <cfRule type="cellIs" dxfId="5" priority="15" operator="between">
      <formula>0.1</formula>
      <formula>0.2</formula>
    </cfRule>
    <cfRule type="cellIs" dxfId="4" priority="16" operator="greaterThan">
      <formula>0.2</formula>
    </cfRule>
  </conditionalFormatting>
  <conditionalFormatting sqref="C99:O99">
    <cfRule type="cellIs" dxfId="3" priority="4" operator="lessThan">
      <formula>0</formula>
    </cfRule>
    <cfRule type="cellIs" dxfId="2" priority="5" operator="greaterThanOrEqual">
      <formula>0</formula>
    </cfRule>
  </conditionalFormatting>
  <conditionalFormatting sqref="O65">
    <cfRule type="expression" dxfId="1" priority="1">
      <formula>$O$65&gt;$F$60</formula>
    </cfRule>
  </conditionalFormatting>
  <dataValidations count="5">
    <dataValidation type="list" allowBlank="1" showInputMessage="1" showErrorMessage="1" error="Enter Interest Only Period (Maximum 3 Years)" sqref="D28" xr:uid="{AB3A8646-8326-45B0-AA7B-89ABAEE2F984}">
      <formula1>$D$146:$D$149</formula1>
    </dataValidation>
    <dataValidation type="list" allowBlank="1" showInputMessage="1" showErrorMessage="1" error="Enter County in 7-County Twin Cities Metro Area" sqref="N2:O2" xr:uid="{25E51382-69D0-4AC0-8CBC-53026B06A913}">
      <formula1>$F$146:$F$152</formula1>
    </dataValidation>
    <dataValidation type="decimal" operator="greaterThanOrEqual" allowBlank="1" showInputMessage="1" showErrorMessage="1" error="Enter Value &gt;0 Per Month" sqref="E117" xr:uid="{8E15930F-6625-46E6-AFBB-2AD26D0FEE3F}">
      <formula1>0</formula1>
    </dataValidation>
    <dataValidation type="decimal" operator="lessThanOrEqual" allowBlank="1" showInputMessage="1" showErrorMessage="1" error="Maximum Fund Fee is 1.00%" sqref="J29" xr:uid="{93DBF2AF-66E5-43BF-AB56-C5CE1046F8DF}">
      <formula1>0.01</formula1>
    </dataValidation>
    <dataValidation type="decimal" operator="lessThanOrEqual" allowBlank="1" showInputMessage="1" showErrorMessage="1" error="Maximum OP Fee is 1.50%" sqref="J30" xr:uid="{869CB7AA-2DF1-4B4B-B95A-6B6499F48199}">
      <formula1>0.015</formula1>
    </dataValidation>
  </dataValidations>
  <printOptions horizontalCentered="1" verticalCentered="1"/>
  <pageMargins left="0.25" right="0.25" top="0.25" bottom="0.5" header="0.25" footer="0.25"/>
  <pageSetup paperSize="5" scale="75" orientation="landscape" r:id="rId1"/>
  <rowBreaks count="3" manualBreakCount="3">
    <brk id="37" max="16383" man="1"/>
    <brk id="66" max="16383" man="1"/>
    <brk id="100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1EC11C-F8EB-4D67-B40D-57159BAAF1D8}">
  <dimension ref="A1:BM33"/>
  <sheetViews>
    <sheetView workbookViewId="0">
      <selection sqref="A1:I1"/>
    </sheetView>
  </sheetViews>
  <sheetFormatPr defaultColWidth="8.77734375" defaultRowHeight="20.100000000000001" customHeight="1" x14ac:dyDescent="0.3"/>
  <cols>
    <col min="1" max="9" width="12.5546875" style="1" customWidth="1"/>
    <col min="10" max="10" width="5.5546875" style="1" customWidth="1"/>
    <col min="11" max="23" width="12.5546875" style="1" customWidth="1"/>
    <col min="24" max="24" width="5.5546875" style="1" customWidth="1"/>
    <col min="25" max="37" width="12.5546875" style="1" customWidth="1"/>
    <col min="38" max="38" width="5.5546875" style="1" customWidth="1"/>
    <col min="39" max="51" width="12.5546875" style="1" customWidth="1"/>
    <col min="52" max="52" width="5.5546875" style="1" customWidth="1"/>
    <col min="53" max="65" width="12.5546875" style="1" customWidth="1"/>
    <col min="66" max="16384" width="8.77734375" style="1"/>
  </cols>
  <sheetData>
    <row r="1" spans="1:65" ht="46.2" x14ac:dyDescent="0.85">
      <c r="A1" s="689" t="s">
        <v>244</v>
      </c>
      <c r="B1" s="690"/>
      <c r="C1" s="690"/>
      <c r="D1" s="690"/>
      <c r="E1" s="690"/>
      <c r="F1" s="690"/>
      <c r="G1" s="690"/>
      <c r="H1" s="690"/>
      <c r="I1" s="691"/>
      <c r="K1" s="689" t="s">
        <v>246</v>
      </c>
      <c r="L1" s="690"/>
      <c r="M1" s="690"/>
      <c r="N1" s="690"/>
      <c r="O1" s="690"/>
      <c r="P1" s="690"/>
      <c r="Q1" s="690"/>
      <c r="R1" s="690"/>
      <c r="S1" s="690"/>
      <c r="T1" s="690"/>
      <c r="U1" s="690"/>
      <c r="V1" s="690"/>
      <c r="W1" s="691"/>
      <c r="Y1" s="689" t="s">
        <v>251</v>
      </c>
      <c r="Z1" s="690"/>
      <c r="AA1" s="690"/>
      <c r="AB1" s="690"/>
      <c r="AC1" s="690"/>
      <c r="AD1" s="690"/>
      <c r="AE1" s="690"/>
      <c r="AF1" s="690"/>
      <c r="AG1" s="690"/>
      <c r="AH1" s="690"/>
      <c r="AI1" s="690"/>
      <c r="AJ1" s="690"/>
      <c r="AK1" s="691"/>
      <c r="AM1" s="689" t="s">
        <v>248</v>
      </c>
      <c r="AN1" s="690"/>
      <c r="AO1" s="690"/>
      <c r="AP1" s="690"/>
      <c r="AQ1" s="690"/>
      <c r="AR1" s="690"/>
      <c r="AS1" s="690"/>
      <c r="AT1" s="690"/>
      <c r="AU1" s="690"/>
      <c r="AV1" s="690"/>
      <c r="AW1" s="690"/>
      <c r="AX1" s="690"/>
      <c r="AY1" s="691"/>
      <c r="BA1" s="689" t="s">
        <v>249</v>
      </c>
      <c r="BB1" s="690"/>
      <c r="BC1" s="690"/>
      <c r="BD1" s="690"/>
      <c r="BE1" s="690"/>
      <c r="BF1" s="690"/>
      <c r="BG1" s="690"/>
      <c r="BH1" s="690"/>
      <c r="BI1" s="690"/>
      <c r="BJ1" s="690"/>
      <c r="BK1" s="690"/>
      <c r="BL1" s="690"/>
      <c r="BM1" s="691"/>
    </row>
    <row r="2" spans="1:65" ht="23.55" customHeight="1" x14ac:dyDescent="0.45">
      <c r="A2" s="692" t="s">
        <v>245</v>
      </c>
      <c r="B2" s="693"/>
      <c r="C2" s="693"/>
      <c r="D2" s="693"/>
      <c r="E2" s="693"/>
      <c r="F2" s="693"/>
      <c r="G2" s="693"/>
      <c r="H2" s="693"/>
      <c r="I2" s="694"/>
      <c r="K2" s="695" t="s">
        <v>250</v>
      </c>
      <c r="L2" s="696"/>
      <c r="M2" s="696"/>
      <c r="N2" s="696"/>
      <c r="O2" s="696"/>
      <c r="P2" s="696"/>
      <c r="Q2" s="696"/>
      <c r="R2" s="696"/>
      <c r="S2" s="696"/>
      <c r="T2" s="696"/>
      <c r="U2" s="696"/>
      <c r="V2" s="696"/>
      <c r="W2" s="697"/>
      <c r="Y2" s="692" t="s">
        <v>253</v>
      </c>
      <c r="Z2" s="693"/>
      <c r="AA2" s="693"/>
      <c r="AB2" s="693"/>
      <c r="AC2" s="693"/>
      <c r="AD2" s="693"/>
      <c r="AE2" s="693"/>
      <c r="AF2" s="693"/>
      <c r="AG2" s="693"/>
      <c r="AH2" s="693"/>
      <c r="AI2" s="693"/>
      <c r="AJ2" s="693"/>
      <c r="AK2" s="694"/>
      <c r="AM2" s="692" t="s">
        <v>242</v>
      </c>
      <c r="AN2" s="693"/>
      <c r="AO2" s="693"/>
      <c r="AP2" s="693"/>
      <c r="AQ2" s="693"/>
      <c r="AR2" s="693"/>
      <c r="AS2" s="693"/>
      <c r="AT2" s="693"/>
      <c r="AU2" s="693"/>
      <c r="AV2" s="693"/>
      <c r="AW2" s="693"/>
      <c r="AX2" s="693"/>
      <c r="AY2" s="694"/>
      <c r="BA2" s="692" t="s">
        <v>252</v>
      </c>
      <c r="BB2" s="693"/>
      <c r="BC2" s="693"/>
      <c r="BD2" s="693"/>
      <c r="BE2" s="693"/>
      <c r="BF2" s="693"/>
      <c r="BG2" s="693"/>
      <c r="BH2" s="693"/>
      <c r="BI2" s="693"/>
      <c r="BJ2" s="693"/>
      <c r="BK2" s="693"/>
      <c r="BL2" s="693"/>
      <c r="BM2" s="694"/>
    </row>
    <row r="3" spans="1:65" ht="31.2" x14ac:dyDescent="0.6">
      <c r="A3" s="700" t="str">
        <f>IF('Property Model'!$C$2="","Enter Property Name on Property Model Tab",'Property Model'!$C$2)</f>
        <v>Enter Property Name on Property Model Tab</v>
      </c>
      <c r="B3" s="701"/>
      <c r="C3" s="701"/>
      <c r="D3" s="701"/>
      <c r="E3" s="701"/>
      <c r="F3" s="701"/>
      <c r="G3" s="701"/>
      <c r="H3" s="701"/>
      <c r="I3" s="702"/>
      <c r="K3" s="700" t="str">
        <f>IF('Property Model'!$C$2="","Enter Property Name on Property Model Tab",'Property Model'!$C$2)</f>
        <v>Enter Property Name on Property Model Tab</v>
      </c>
      <c r="L3" s="701"/>
      <c r="M3" s="701"/>
      <c r="N3" s="701"/>
      <c r="O3" s="701"/>
      <c r="P3" s="701"/>
      <c r="Q3" s="701"/>
      <c r="R3" s="701"/>
      <c r="S3" s="701"/>
      <c r="T3" s="701"/>
      <c r="U3" s="701"/>
      <c r="V3" s="701"/>
      <c r="W3" s="702"/>
      <c r="Y3" s="700" t="str">
        <f>IF('Property Model'!$C$2="","Enter Property Name on Property Model Tab",'Property Model'!$C$2)</f>
        <v>Enter Property Name on Property Model Tab</v>
      </c>
      <c r="Z3" s="701"/>
      <c r="AA3" s="701"/>
      <c r="AB3" s="701"/>
      <c r="AC3" s="701"/>
      <c r="AD3" s="701"/>
      <c r="AE3" s="701"/>
      <c r="AF3" s="701"/>
      <c r="AG3" s="701"/>
      <c r="AH3" s="701"/>
      <c r="AI3" s="701"/>
      <c r="AJ3" s="701"/>
      <c r="AK3" s="702"/>
      <c r="AM3" s="700" t="str">
        <f>IF('Property Model'!$C$2="","Enter Property Name on Property Model Tab",'Property Model'!$C$2)</f>
        <v>Enter Property Name on Property Model Tab</v>
      </c>
      <c r="AN3" s="701"/>
      <c r="AO3" s="701"/>
      <c r="AP3" s="701"/>
      <c r="AQ3" s="701"/>
      <c r="AR3" s="701"/>
      <c r="AS3" s="701"/>
      <c r="AT3" s="701"/>
      <c r="AU3" s="701"/>
      <c r="AV3" s="701"/>
      <c r="AW3" s="701"/>
      <c r="AX3" s="701"/>
      <c r="AY3" s="702"/>
      <c r="BA3" s="700" t="str">
        <f>IF('Property Model'!$C$2="","Enter Property Name on Property Model Tab",'Property Model'!$C$2)</f>
        <v>Enter Property Name on Property Model Tab</v>
      </c>
      <c r="BB3" s="701"/>
      <c r="BC3" s="701"/>
      <c r="BD3" s="701"/>
      <c r="BE3" s="701"/>
      <c r="BF3" s="701"/>
      <c r="BG3" s="701"/>
      <c r="BH3" s="701"/>
      <c r="BI3" s="701"/>
      <c r="BJ3" s="701"/>
      <c r="BK3" s="701"/>
      <c r="BL3" s="701"/>
      <c r="BM3" s="702"/>
    </row>
    <row r="4" spans="1:65" ht="20.100000000000001" customHeight="1" x14ac:dyDescent="0.35">
      <c r="A4" s="717" t="s">
        <v>179</v>
      </c>
      <c r="B4" s="719" t="s">
        <v>180</v>
      </c>
      <c r="C4" s="719" t="s">
        <v>181</v>
      </c>
      <c r="D4" s="719" t="s">
        <v>234</v>
      </c>
      <c r="E4" s="719" t="s">
        <v>235</v>
      </c>
      <c r="F4" s="719" t="s">
        <v>182</v>
      </c>
      <c r="G4" s="719" t="s">
        <v>183</v>
      </c>
      <c r="H4" s="719" t="s">
        <v>184</v>
      </c>
      <c r="I4" s="698" t="s">
        <v>185</v>
      </c>
      <c r="K4" s="717" t="s">
        <v>179</v>
      </c>
      <c r="L4" s="698" t="s">
        <v>181</v>
      </c>
      <c r="M4" s="706" t="s">
        <v>247</v>
      </c>
      <c r="N4" s="706"/>
      <c r="O4" s="706"/>
      <c r="P4" s="706"/>
      <c r="Q4" s="706"/>
      <c r="R4" s="706"/>
      <c r="S4" s="706"/>
      <c r="T4" s="706"/>
      <c r="U4" s="706"/>
      <c r="V4" s="706"/>
      <c r="W4" s="707"/>
      <c r="Y4" s="717" t="s">
        <v>179</v>
      </c>
      <c r="Z4" s="698" t="s">
        <v>181</v>
      </c>
      <c r="AA4" s="706" t="s">
        <v>247</v>
      </c>
      <c r="AB4" s="706"/>
      <c r="AC4" s="706"/>
      <c r="AD4" s="706"/>
      <c r="AE4" s="706"/>
      <c r="AF4" s="706"/>
      <c r="AG4" s="706"/>
      <c r="AH4" s="706"/>
      <c r="AI4" s="706"/>
      <c r="AJ4" s="706"/>
      <c r="AK4" s="707"/>
      <c r="AM4" s="717" t="s">
        <v>179</v>
      </c>
      <c r="AN4" s="698" t="s">
        <v>181</v>
      </c>
      <c r="AO4" s="708" t="s">
        <v>247</v>
      </c>
      <c r="AP4" s="709"/>
      <c r="AQ4" s="709"/>
      <c r="AR4" s="709"/>
      <c r="AS4" s="709"/>
      <c r="AT4" s="709"/>
      <c r="AU4" s="709"/>
      <c r="AV4" s="709"/>
      <c r="AW4" s="709"/>
      <c r="AX4" s="709"/>
      <c r="AY4" s="710"/>
      <c r="BA4" s="717" t="s">
        <v>179</v>
      </c>
      <c r="BB4" s="698" t="s">
        <v>181</v>
      </c>
      <c r="BC4" s="708" t="s">
        <v>247</v>
      </c>
      <c r="BD4" s="709"/>
      <c r="BE4" s="709"/>
      <c r="BF4" s="709"/>
      <c r="BG4" s="709"/>
      <c r="BH4" s="709"/>
      <c r="BI4" s="709"/>
      <c r="BJ4" s="709"/>
      <c r="BK4" s="709"/>
      <c r="BL4" s="709"/>
      <c r="BM4" s="710"/>
    </row>
    <row r="5" spans="1:65" ht="20.100000000000001" customHeight="1" x14ac:dyDescent="0.35">
      <c r="A5" s="750"/>
      <c r="B5" s="721"/>
      <c r="C5" s="721"/>
      <c r="D5" s="721"/>
      <c r="E5" s="721"/>
      <c r="F5" s="720"/>
      <c r="G5" s="720"/>
      <c r="H5" s="720"/>
      <c r="I5" s="699"/>
      <c r="K5" s="718"/>
      <c r="L5" s="699"/>
      <c r="M5" s="584" t="s">
        <v>124</v>
      </c>
      <c r="N5" s="8">
        <v>1</v>
      </c>
      <c r="O5" s="9">
        <v>2</v>
      </c>
      <c r="P5" s="9">
        <v>3</v>
      </c>
      <c r="Q5" s="9">
        <v>4</v>
      </c>
      <c r="R5" s="9">
        <v>5</v>
      </c>
      <c r="S5" s="9">
        <v>6</v>
      </c>
      <c r="T5" s="9">
        <v>7</v>
      </c>
      <c r="U5" s="9">
        <v>8</v>
      </c>
      <c r="V5" s="9">
        <v>9</v>
      </c>
      <c r="W5" s="10">
        <v>10</v>
      </c>
      <c r="Y5" s="718"/>
      <c r="Z5" s="699"/>
      <c r="AA5" s="584" t="s">
        <v>124</v>
      </c>
      <c r="AB5" s="8">
        <v>1</v>
      </c>
      <c r="AC5" s="9">
        <v>2</v>
      </c>
      <c r="AD5" s="9">
        <v>3</v>
      </c>
      <c r="AE5" s="9">
        <v>4</v>
      </c>
      <c r="AF5" s="9">
        <v>5</v>
      </c>
      <c r="AG5" s="9">
        <v>6</v>
      </c>
      <c r="AH5" s="9">
        <v>7</v>
      </c>
      <c r="AI5" s="9">
        <v>8</v>
      </c>
      <c r="AJ5" s="9">
        <v>9</v>
      </c>
      <c r="AK5" s="10">
        <v>10</v>
      </c>
      <c r="AM5" s="718"/>
      <c r="AN5" s="699"/>
      <c r="AO5" s="7" t="s">
        <v>124</v>
      </c>
      <c r="AP5" s="8">
        <v>1</v>
      </c>
      <c r="AQ5" s="9">
        <v>2</v>
      </c>
      <c r="AR5" s="9">
        <v>3</v>
      </c>
      <c r="AS5" s="9">
        <v>4</v>
      </c>
      <c r="AT5" s="9">
        <v>5</v>
      </c>
      <c r="AU5" s="9">
        <v>6</v>
      </c>
      <c r="AV5" s="9">
        <v>7</v>
      </c>
      <c r="AW5" s="9">
        <v>8</v>
      </c>
      <c r="AX5" s="9">
        <v>9</v>
      </c>
      <c r="AY5" s="10">
        <v>10</v>
      </c>
      <c r="BA5" s="718"/>
      <c r="BB5" s="699"/>
      <c r="BC5" s="7" t="s">
        <v>124</v>
      </c>
      <c r="BD5" s="599">
        <v>1</v>
      </c>
      <c r="BE5" s="9">
        <v>2</v>
      </c>
      <c r="BF5" s="9">
        <v>3</v>
      </c>
      <c r="BG5" s="9">
        <v>4</v>
      </c>
      <c r="BH5" s="9">
        <v>5</v>
      </c>
      <c r="BI5" s="9">
        <v>6</v>
      </c>
      <c r="BJ5" s="9">
        <v>7</v>
      </c>
      <c r="BK5" s="9">
        <v>8</v>
      </c>
      <c r="BL5" s="9">
        <v>9</v>
      </c>
      <c r="BM5" s="10">
        <v>10</v>
      </c>
    </row>
    <row r="6" spans="1:65" ht="20.100000000000001" customHeight="1" x14ac:dyDescent="0.35">
      <c r="A6" s="543"/>
      <c r="B6" s="521"/>
      <c r="C6" s="521"/>
      <c r="D6" s="515"/>
      <c r="E6" s="511"/>
      <c r="F6" s="227">
        <f>IF(I6=$G$32,0,SUMIF('Utility Allowances'!$A$6:$A$15,A6,'Utility Allowances'!$M$6:$M$15))</f>
        <v>0</v>
      </c>
      <c r="G6" s="227">
        <f>SUM(E6:F6)</f>
        <v>0</v>
      </c>
      <c r="H6" s="227" cm="1">
        <f t="array" ref="H6">IF(OR(A6="",I6="",I6=$G$32),0,_xlfn.XLOOKUP(A6,'Rent Limits'!$A$5:$A$8,_xlfn.XLOOKUP(I6,'Rent Limits'!$B$4:$F$4,'Rent Limits'!$B$5:$F$8)))</f>
        <v>0</v>
      </c>
      <c r="I6" s="513"/>
      <c r="K6" s="546" t="str">
        <f t="shared" ref="K6:K15" si="0">IF(AND(A6&lt;&gt;"",I6&lt;&gt;$G$32),A6,"")</f>
        <v/>
      </c>
      <c r="L6" s="547">
        <f t="shared" ref="L6:L15" si="1">IF($I6=$G$32,0,C6)</f>
        <v>0</v>
      </c>
      <c r="M6" s="215">
        <f t="shared" ref="M6:M15" si="2">IF($I6=$G$32,0,D6)</f>
        <v>0</v>
      </c>
      <c r="N6" s="600">
        <f t="shared" ref="N6:N15" si="3">IF($I6=$G$32,0,E6)</f>
        <v>0</v>
      </c>
      <c r="O6" s="217">
        <f t="shared" ref="O6:W6" si="4">N6*(1+O$17)</f>
        <v>0</v>
      </c>
      <c r="P6" s="217">
        <f t="shared" si="4"/>
        <v>0</v>
      </c>
      <c r="Q6" s="217">
        <f t="shared" si="4"/>
        <v>0</v>
      </c>
      <c r="R6" s="217">
        <f t="shared" si="4"/>
        <v>0</v>
      </c>
      <c r="S6" s="217">
        <f t="shared" si="4"/>
        <v>0</v>
      </c>
      <c r="T6" s="217">
        <f t="shared" si="4"/>
        <v>0</v>
      </c>
      <c r="U6" s="217">
        <f t="shared" si="4"/>
        <v>0</v>
      </c>
      <c r="V6" s="217">
        <f t="shared" si="4"/>
        <v>0</v>
      </c>
      <c r="W6" s="218">
        <f t="shared" si="4"/>
        <v>0</v>
      </c>
      <c r="Y6" s="546" t="str">
        <f>$K6</f>
        <v/>
      </c>
      <c r="Z6" s="627">
        <f>$L6</f>
        <v>0</v>
      </c>
      <c r="AA6" s="600">
        <f t="shared" ref="AA6:AA15" si="5">IF(H6=0,0,H6)</f>
        <v>0</v>
      </c>
      <c r="AB6" s="216">
        <f>AA6</f>
        <v>0</v>
      </c>
      <c r="AC6" s="217">
        <f t="shared" ref="AC6:AK6" si="6">AB6*(1+$AB$17)</f>
        <v>0</v>
      </c>
      <c r="AD6" s="217">
        <f t="shared" si="6"/>
        <v>0</v>
      </c>
      <c r="AE6" s="217">
        <f t="shared" si="6"/>
        <v>0</v>
      </c>
      <c r="AF6" s="217">
        <f t="shared" si="6"/>
        <v>0</v>
      </c>
      <c r="AG6" s="217">
        <f t="shared" si="6"/>
        <v>0</v>
      </c>
      <c r="AH6" s="217">
        <f t="shared" si="6"/>
        <v>0</v>
      </c>
      <c r="AI6" s="217">
        <f t="shared" si="6"/>
        <v>0</v>
      </c>
      <c r="AJ6" s="217">
        <f t="shared" si="6"/>
        <v>0</v>
      </c>
      <c r="AK6" s="218">
        <f t="shared" si="6"/>
        <v>0</v>
      </c>
      <c r="AM6" s="546" t="str">
        <f>$K6</f>
        <v/>
      </c>
      <c r="AN6" s="627">
        <f>$L6</f>
        <v>0</v>
      </c>
      <c r="AO6" s="215">
        <f t="shared" ref="AO6:AO15" si="7">IF($I6=$G$32,0,F6)</f>
        <v>0</v>
      </c>
      <c r="AP6" s="216">
        <f>AO6</f>
        <v>0</v>
      </c>
      <c r="AQ6" s="217">
        <f t="shared" ref="AQ6:AY6" si="8">AP6*(1+$AP$17)</f>
        <v>0</v>
      </c>
      <c r="AR6" s="217">
        <f t="shared" si="8"/>
        <v>0</v>
      </c>
      <c r="AS6" s="217">
        <f t="shared" si="8"/>
        <v>0</v>
      </c>
      <c r="AT6" s="217">
        <f t="shared" si="8"/>
        <v>0</v>
      </c>
      <c r="AU6" s="217">
        <f t="shared" si="8"/>
        <v>0</v>
      </c>
      <c r="AV6" s="217">
        <f t="shared" si="8"/>
        <v>0</v>
      </c>
      <c r="AW6" s="217">
        <f t="shared" si="8"/>
        <v>0</v>
      </c>
      <c r="AX6" s="217">
        <f t="shared" si="8"/>
        <v>0</v>
      </c>
      <c r="AY6" s="218">
        <f t="shared" si="8"/>
        <v>0</v>
      </c>
      <c r="BA6" s="546" t="str">
        <f>$K6</f>
        <v/>
      </c>
      <c r="BB6" s="627">
        <f>$L6</f>
        <v>0</v>
      </c>
      <c r="BC6" s="215">
        <f t="shared" ref="BC6:BM6" si="9">AA6-AO6</f>
        <v>0</v>
      </c>
      <c r="BD6" s="600">
        <f t="shared" si="9"/>
        <v>0</v>
      </c>
      <c r="BE6" s="217">
        <f t="shared" si="9"/>
        <v>0</v>
      </c>
      <c r="BF6" s="217">
        <f t="shared" si="9"/>
        <v>0</v>
      </c>
      <c r="BG6" s="217">
        <f t="shared" si="9"/>
        <v>0</v>
      </c>
      <c r="BH6" s="217">
        <f t="shared" si="9"/>
        <v>0</v>
      </c>
      <c r="BI6" s="217">
        <f t="shared" si="9"/>
        <v>0</v>
      </c>
      <c r="BJ6" s="217">
        <f t="shared" si="9"/>
        <v>0</v>
      </c>
      <c r="BK6" s="217">
        <f t="shared" si="9"/>
        <v>0</v>
      </c>
      <c r="BL6" s="217">
        <f t="shared" si="9"/>
        <v>0</v>
      </c>
      <c r="BM6" s="218">
        <f t="shared" si="9"/>
        <v>0</v>
      </c>
    </row>
    <row r="7" spans="1:65" ht="20.100000000000001" customHeight="1" x14ac:dyDescent="0.35">
      <c r="A7" s="544"/>
      <c r="B7" s="522"/>
      <c r="C7" s="522"/>
      <c r="D7" s="515"/>
      <c r="E7" s="515"/>
      <c r="F7" s="228">
        <f>IF(I7=$G$32,0,SUMIF('Utility Allowances'!$A$6:$A$15,A7,'Utility Allowances'!$M$6:$M$15))</f>
        <v>0</v>
      </c>
      <c r="G7" s="228">
        <f t="shared" ref="G7:G15" si="10">SUM(E7:F7)</f>
        <v>0</v>
      </c>
      <c r="H7" s="228" cm="1">
        <f t="array" ref="H7">IF(OR(A7="",I7="",I7=$G$32),0,_xlfn.XLOOKUP(A7,'Rent Limits'!$A$5:$A$8,_xlfn.XLOOKUP(I7,'Rent Limits'!$B$4:$F$4,'Rent Limits'!$B$5:$F$8)))</f>
        <v>0</v>
      </c>
      <c r="I7" s="517"/>
      <c r="K7" s="548" t="str">
        <f t="shared" si="0"/>
        <v/>
      </c>
      <c r="L7" s="549">
        <f t="shared" si="1"/>
        <v>0</v>
      </c>
      <c r="M7" s="219">
        <f t="shared" si="2"/>
        <v>0</v>
      </c>
      <c r="N7" s="601">
        <f t="shared" si="3"/>
        <v>0</v>
      </c>
      <c r="O7" s="221">
        <f t="shared" ref="O7:W7" si="11">N7*(1+O$17)</f>
        <v>0</v>
      </c>
      <c r="P7" s="221">
        <f t="shared" si="11"/>
        <v>0</v>
      </c>
      <c r="Q7" s="221">
        <f t="shared" si="11"/>
        <v>0</v>
      </c>
      <c r="R7" s="221">
        <f t="shared" si="11"/>
        <v>0</v>
      </c>
      <c r="S7" s="221">
        <f t="shared" si="11"/>
        <v>0</v>
      </c>
      <c r="T7" s="221">
        <f t="shared" si="11"/>
        <v>0</v>
      </c>
      <c r="U7" s="221">
        <f t="shared" si="11"/>
        <v>0</v>
      </c>
      <c r="V7" s="221">
        <f t="shared" si="11"/>
        <v>0</v>
      </c>
      <c r="W7" s="222">
        <f t="shared" si="11"/>
        <v>0</v>
      </c>
      <c r="Y7" s="548" t="str">
        <f t="shared" ref="Y7:Y15" si="12">$K7</f>
        <v/>
      </c>
      <c r="Z7" s="628">
        <f t="shared" ref="Z7:Z15" si="13">$L7</f>
        <v>0</v>
      </c>
      <c r="AA7" s="601">
        <f t="shared" si="5"/>
        <v>0</v>
      </c>
      <c r="AB7" s="220">
        <f t="shared" ref="AB7:AB15" si="14">AA7</f>
        <v>0</v>
      </c>
      <c r="AC7" s="221">
        <f t="shared" ref="AC7:AK7" si="15">AB7*(1+$AB$17)</f>
        <v>0</v>
      </c>
      <c r="AD7" s="221">
        <f t="shared" si="15"/>
        <v>0</v>
      </c>
      <c r="AE7" s="221">
        <f t="shared" si="15"/>
        <v>0</v>
      </c>
      <c r="AF7" s="221">
        <f t="shared" si="15"/>
        <v>0</v>
      </c>
      <c r="AG7" s="221">
        <f t="shared" si="15"/>
        <v>0</v>
      </c>
      <c r="AH7" s="221">
        <f t="shared" si="15"/>
        <v>0</v>
      </c>
      <c r="AI7" s="221">
        <f t="shared" si="15"/>
        <v>0</v>
      </c>
      <c r="AJ7" s="221">
        <f t="shared" si="15"/>
        <v>0</v>
      </c>
      <c r="AK7" s="222">
        <f t="shared" si="15"/>
        <v>0</v>
      </c>
      <c r="AM7" s="548" t="str">
        <f t="shared" ref="AM7:AM15" si="16">$K7</f>
        <v/>
      </c>
      <c r="AN7" s="628">
        <f t="shared" ref="AN7:AN15" si="17">$L7</f>
        <v>0</v>
      </c>
      <c r="AO7" s="219">
        <f t="shared" si="7"/>
        <v>0</v>
      </c>
      <c r="AP7" s="220">
        <f t="shared" ref="AP7:AP15" si="18">AO7</f>
        <v>0</v>
      </c>
      <c r="AQ7" s="221">
        <f t="shared" ref="AQ7:AY7" si="19">AP7*(1+$AP$17)</f>
        <v>0</v>
      </c>
      <c r="AR7" s="221">
        <f t="shared" si="19"/>
        <v>0</v>
      </c>
      <c r="AS7" s="221">
        <f t="shared" si="19"/>
        <v>0</v>
      </c>
      <c r="AT7" s="221">
        <f t="shared" si="19"/>
        <v>0</v>
      </c>
      <c r="AU7" s="221">
        <f t="shared" si="19"/>
        <v>0</v>
      </c>
      <c r="AV7" s="221">
        <f t="shared" si="19"/>
        <v>0</v>
      </c>
      <c r="AW7" s="221">
        <f t="shared" si="19"/>
        <v>0</v>
      </c>
      <c r="AX7" s="221">
        <f t="shared" si="19"/>
        <v>0</v>
      </c>
      <c r="AY7" s="222">
        <f t="shared" si="19"/>
        <v>0</v>
      </c>
      <c r="BA7" s="548" t="str">
        <f t="shared" ref="BA7:BA15" si="20">$K7</f>
        <v/>
      </c>
      <c r="BB7" s="628">
        <f t="shared" ref="BB7:BB15" si="21">$L7</f>
        <v>0</v>
      </c>
      <c r="BC7" s="219">
        <f t="shared" ref="BC7:BC15" si="22">AA7-AO7</f>
        <v>0</v>
      </c>
      <c r="BD7" s="601">
        <f t="shared" ref="BD7:BD15" si="23">AB7-AP7</f>
        <v>0</v>
      </c>
      <c r="BE7" s="221">
        <f t="shared" ref="BE7:BE15" si="24">AC7-AQ7</f>
        <v>0</v>
      </c>
      <c r="BF7" s="221">
        <f t="shared" ref="BF7:BF15" si="25">AD7-AR7</f>
        <v>0</v>
      </c>
      <c r="BG7" s="221">
        <f t="shared" ref="BG7:BG15" si="26">AE7-AS7</f>
        <v>0</v>
      </c>
      <c r="BH7" s="221">
        <f t="shared" ref="BH7:BH15" si="27">AF7-AT7</f>
        <v>0</v>
      </c>
      <c r="BI7" s="221">
        <f t="shared" ref="BI7:BI15" si="28">AG7-AU7</f>
        <v>0</v>
      </c>
      <c r="BJ7" s="221">
        <f t="shared" ref="BJ7:BJ15" si="29">AH7-AV7</f>
        <v>0</v>
      </c>
      <c r="BK7" s="221">
        <f t="shared" ref="BK7:BK15" si="30">AI7-AW7</f>
        <v>0</v>
      </c>
      <c r="BL7" s="221">
        <f t="shared" ref="BL7:BL15" si="31">AJ7-AX7</f>
        <v>0</v>
      </c>
      <c r="BM7" s="222">
        <f t="shared" ref="BM7:BM15" si="32">AK7-AY7</f>
        <v>0</v>
      </c>
    </row>
    <row r="8" spans="1:65" ht="20.100000000000001" customHeight="1" x14ac:dyDescent="0.35">
      <c r="A8" s="544"/>
      <c r="B8" s="522"/>
      <c r="C8" s="522"/>
      <c r="D8" s="515"/>
      <c r="E8" s="515"/>
      <c r="F8" s="228">
        <f>IF(I8=$G$32,0,SUMIF('Utility Allowances'!$A$6:$A$15,A8,'Utility Allowances'!$M$6:$M$15))</f>
        <v>0</v>
      </c>
      <c r="G8" s="228">
        <f t="shared" si="10"/>
        <v>0</v>
      </c>
      <c r="H8" s="228" cm="1">
        <f t="array" ref="H8">IF(OR(A8="",I8="",I8=$G$32),0,_xlfn.XLOOKUP(A8,'Rent Limits'!$A$5:$A$8,_xlfn.XLOOKUP(I8,'Rent Limits'!$B$4:$F$4,'Rent Limits'!$B$5:$F$8)))</f>
        <v>0</v>
      </c>
      <c r="I8" s="517"/>
      <c r="K8" s="548" t="str">
        <f t="shared" si="0"/>
        <v/>
      </c>
      <c r="L8" s="549">
        <f t="shared" si="1"/>
        <v>0</v>
      </c>
      <c r="M8" s="219">
        <f t="shared" si="2"/>
        <v>0</v>
      </c>
      <c r="N8" s="601">
        <f t="shared" si="3"/>
        <v>0</v>
      </c>
      <c r="O8" s="221">
        <f t="shared" ref="O8:W8" si="33">N8*(1+O$17)</f>
        <v>0</v>
      </c>
      <c r="P8" s="221">
        <f t="shared" si="33"/>
        <v>0</v>
      </c>
      <c r="Q8" s="221">
        <f t="shared" si="33"/>
        <v>0</v>
      </c>
      <c r="R8" s="221">
        <f t="shared" si="33"/>
        <v>0</v>
      </c>
      <c r="S8" s="221">
        <f t="shared" si="33"/>
        <v>0</v>
      </c>
      <c r="T8" s="221">
        <f t="shared" si="33"/>
        <v>0</v>
      </c>
      <c r="U8" s="221">
        <f t="shared" si="33"/>
        <v>0</v>
      </c>
      <c r="V8" s="221">
        <f t="shared" si="33"/>
        <v>0</v>
      </c>
      <c r="W8" s="222">
        <f t="shared" si="33"/>
        <v>0</v>
      </c>
      <c r="Y8" s="548" t="str">
        <f t="shared" si="12"/>
        <v/>
      </c>
      <c r="Z8" s="628">
        <f t="shared" si="13"/>
        <v>0</v>
      </c>
      <c r="AA8" s="601">
        <f t="shared" si="5"/>
        <v>0</v>
      </c>
      <c r="AB8" s="220">
        <f t="shared" si="14"/>
        <v>0</v>
      </c>
      <c r="AC8" s="221">
        <f t="shared" ref="AC8:AK8" si="34">AB8*(1+$AB$17)</f>
        <v>0</v>
      </c>
      <c r="AD8" s="221">
        <f t="shared" si="34"/>
        <v>0</v>
      </c>
      <c r="AE8" s="221">
        <f t="shared" si="34"/>
        <v>0</v>
      </c>
      <c r="AF8" s="221">
        <f t="shared" si="34"/>
        <v>0</v>
      </c>
      <c r="AG8" s="221">
        <f t="shared" si="34"/>
        <v>0</v>
      </c>
      <c r="AH8" s="221">
        <f t="shared" si="34"/>
        <v>0</v>
      </c>
      <c r="AI8" s="221">
        <f t="shared" si="34"/>
        <v>0</v>
      </c>
      <c r="AJ8" s="221">
        <f t="shared" si="34"/>
        <v>0</v>
      </c>
      <c r="AK8" s="222">
        <f t="shared" si="34"/>
        <v>0</v>
      </c>
      <c r="AM8" s="548" t="str">
        <f t="shared" si="16"/>
        <v/>
      </c>
      <c r="AN8" s="628">
        <f t="shared" si="17"/>
        <v>0</v>
      </c>
      <c r="AO8" s="219">
        <f t="shared" si="7"/>
        <v>0</v>
      </c>
      <c r="AP8" s="220">
        <f t="shared" si="18"/>
        <v>0</v>
      </c>
      <c r="AQ8" s="221">
        <f t="shared" ref="AQ8:AY8" si="35">AP8*(1+$AP$17)</f>
        <v>0</v>
      </c>
      <c r="AR8" s="221">
        <f t="shared" si="35"/>
        <v>0</v>
      </c>
      <c r="AS8" s="221">
        <f t="shared" si="35"/>
        <v>0</v>
      </c>
      <c r="AT8" s="221">
        <f t="shared" si="35"/>
        <v>0</v>
      </c>
      <c r="AU8" s="221">
        <f t="shared" si="35"/>
        <v>0</v>
      </c>
      <c r="AV8" s="221">
        <f t="shared" si="35"/>
        <v>0</v>
      </c>
      <c r="AW8" s="221">
        <f t="shared" si="35"/>
        <v>0</v>
      </c>
      <c r="AX8" s="221">
        <f t="shared" si="35"/>
        <v>0</v>
      </c>
      <c r="AY8" s="222">
        <f t="shared" si="35"/>
        <v>0</v>
      </c>
      <c r="BA8" s="548" t="str">
        <f t="shared" si="20"/>
        <v/>
      </c>
      <c r="BB8" s="628">
        <f t="shared" si="21"/>
        <v>0</v>
      </c>
      <c r="BC8" s="219">
        <f t="shared" si="22"/>
        <v>0</v>
      </c>
      <c r="BD8" s="601">
        <f t="shared" si="23"/>
        <v>0</v>
      </c>
      <c r="BE8" s="221">
        <f t="shared" si="24"/>
        <v>0</v>
      </c>
      <c r="BF8" s="221">
        <f t="shared" si="25"/>
        <v>0</v>
      </c>
      <c r="BG8" s="221">
        <f t="shared" si="26"/>
        <v>0</v>
      </c>
      <c r="BH8" s="221">
        <f t="shared" si="27"/>
        <v>0</v>
      </c>
      <c r="BI8" s="221">
        <f t="shared" si="28"/>
        <v>0</v>
      </c>
      <c r="BJ8" s="221">
        <f t="shared" si="29"/>
        <v>0</v>
      </c>
      <c r="BK8" s="221">
        <f t="shared" si="30"/>
        <v>0</v>
      </c>
      <c r="BL8" s="221">
        <f t="shared" si="31"/>
        <v>0</v>
      </c>
      <c r="BM8" s="222">
        <f t="shared" si="32"/>
        <v>0</v>
      </c>
    </row>
    <row r="9" spans="1:65" ht="20.100000000000001" customHeight="1" x14ac:dyDescent="0.35">
      <c r="A9" s="544"/>
      <c r="B9" s="522"/>
      <c r="C9" s="522"/>
      <c r="D9" s="515"/>
      <c r="E9" s="515"/>
      <c r="F9" s="228">
        <f>IF(I9=$G$32,0,SUMIF('Utility Allowances'!$A$6:$A$15,A9,'Utility Allowances'!$M$6:$M$15))</f>
        <v>0</v>
      </c>
      <c r="G9" s="228">
        <f t="shared" si="10"/>
        <v>0</v>
      </c>
      <c r="H9" s="228" cm="1">
        <f t="array" ref="H9">IF(OR(A9="",I9="",I9=$G$32),0,_xlfn.XLOOKUP(A9,'Rent Limits'!$A$5:$A$8,_xlfn.XLOOKUP(I9,'Rent Limits'!$B$4:$F$4,'Rent Limits'!$B$5:$F$8)))</f>
        <v>0</v>
      </c>
      <c r="I9" s="517"/>
      <c r="K9" s="548" t="str">
        <f t="shared" si="0"/>
        <v/>
      </c>
      <c r="L9" s="549">
        <f t="shared" si="1"/>
        <v>0</v>
      </c>
      <c r="M9" s="219">
        <f t="shared" si="2"/>
        <v>0</v>
      </c>
      <c r="N9" s="601">
        <f t="shared" si="3"/>
        <v>0</v>
      </c>
      <c r="O9" s="221">
        <f t="shared" ref="O9:W9" si="36">N9*(1+O$17)</f>
        <v>0</v>
      </c>
      <c r="P9" s="221">
        <f t="shared" si="36"/>
        <v>0</v>
      </c>
      <c r="Q9" s="221">
        <f t="shared" si="36"/>
        <v>0</v>
      </c>
      <c r="R9" s="221">
        <f t="shared" si="36"/>
        <v>0</v>
      </c>
      <c r="S9" s="221">
        <f t="shared" si="36"/>
        <v>0</v>
      </c>
      <c r="T9" s="221">
        <f t="shared" si="36"/>
        <v>0</v>
      </c>
      <c r="U9" s="221">
        <f t="shared" si="36"/>
        <v>0</v>
      </c>
      <c r="V9" s="221">
        <f t="shared" si="36"/>
        <v>0</v>
      </c>
      <c r="W9" s="222">
        <f t="shared" si="36"/>
        <v>0</v>
      </c>
      <c r="Y9" s="548" t="str">
        <f t="shared" si="12"/>
        <v/>
      </c>
      <c r="Z9" s="628">
        <f t="shared" si="13"/>
        <v>0</v>
      </c>
      <c r="AA9" s="601">
        <f t="shared" si="5"/>
        <v>0</v>
      </c>
      <c r="AB9" s="220">
        <f t="shared" si="14"/>
        <v>0</v>
      </c>
      <c r="AC9" s="221">
        <f t="shared" ref="AC9:AK9" si="37">AB9*(1+$AB$17)</f>
        <v>0</v>
      </c>
      <c r="AD9" s="221">
        <f t="shared" si="37"/>
        <v>0</v>
      </c>
      <c r="AE9" s="221">
        <f t="shared" si="37"/>
        <v>0</v>
      </c>
      <c r="AF9" s="221">
        <f t="shared" si="37"/>
        <v>0</v>
      </c>
      <c r="AG9" s="221">
        <f t="shared" si="37"/>
        <v>0</v>
      </c>
      <c r="AH9" s="221">
        <f t="shared" si="37"/>
        <v>0</v>
      </c>
      <c r="AI9" s="221">
        <f t="shared" si="37"/>
        <v>0</v>
      </c>
      <c r="AJ9" s="221">
        <f t="shared" si="37"/>
        <v>0</v>
      </c>
      <c r="AK9" s="222">
        <f t="shared" si="37"/>
        <v>0</v>
      </c>
      <c r="AM9" s="548" t="str">
        <f t="shared" si="16"/>
        <v/>
      </c>
      <c r="AN9" s="628">
        <f t="shared" si="17"/>
        <v>0</v>
      </c>
      <c r="AO9" s="219">
        <f t="shared" si="7"/>
        <v>0</v>
      </c>
      <c r="AP9" s="220">
        <f t="shared" si="18"/>
        <v>0</v>
      </c>
      <c r="AQ9" s="221">
        <f t="shared" ref="AQ9:AY9" si="38">AP9*(1+$AP$17)</f>
        <v>0</v>
      </c>
      <c r="AR9" s="221">
        <f t="shared" si="38"/>
        <v>0</v>
      </c>
      <c r="AS9" s="221">
        <f t="shared" si="38"/>
        <v>0</v>
      </c>
      <c r="AT9" s="221">
        <f t="shared" si="38"/>
        <v>0</v>
      </c>
      <c r="AU9" s="221">
        <f t="shared" si="38"/>
        <v>0</v>
      </c>
      <c r="AV9" s="221">
        <f t="shared" si="38"/>
        <v>0</v>
      </c>
      <c r="AW9" s="221">
        <f t="shared" si="38"/>
        <v>0</v>
      </c>
      <c r="AX9" s="221">
        <f t="shared" si="38"/>
        <v>0</v>
      </c>
      <c r="AY9" s="222">
        <f t="shared" si="38"/>
        <v>0</v>
      </c>
      <c r="BA9" s="548" t="str">
        <f t="shared" si="20"/>
        <v/>
      </c>
      <c r="BB9" s="628">
        <f t="shared" si="21"/>
        <v>0</v>
      </c>
      <c r="BC9" s="219">
        <f t="shared" si="22"/>
        <v>0</v>
      </c>
      <c r="BD9" s="601">
        <f t="shared" si="23"/>
        <v>0</v>
      </c>
      <c r="BE9" s="221">
        <f t="shared" si="24"/>
        <v>0</v>
      </c>
      <c r="BF9" s="221">
        <f t="shared" si="25"/>
        <v>0</v>
      </c>
      <c r="BG9" s="221">
        <f t="shared" si="26"/>
        <v>0</v>
      </c>
      <c r="BH9" s="221">
        <f t="shared" si="27"/>
        <v>0</v>
      </c>
      <c r="BI9" s="221">
        <f t="shared" si="28"/>
        <v>0</v>
      </c>
      <c r="BJ9" s="221">
        <f t="shared" si="29"/>
        <v>0</v>
      </c>
      <c r="BK9" s="221">
        <f t="shared" si="30"/>
        <v>0</v>
      </c>
      <c r="BL9" s="221">
        <f t="shared" si="31"/>
        <v>0</v>
      </c>
      <c r="BM9" s="222">
        <f t="shared" si="32"/>
        <v>0</v>
      </c>
    </row>
    <row r="10" spans="1:65" ht="20.100000000000001" customHeight="1" x14ac:dyDescent="0.35">
      <c r="A10" s="544"/>
      <c r="B10" s="522"/>
      <c r="C10" s="522"/>
      <c r="D10" s="515"/>
      <c r="E10" s="515"/>
      <c r="F10" s="228">
        <f>IF(I10=$G$32,0,SUMIF('Utility Allowances'!$A$6:$A$15,A10,'Utility Allowances'!$M$6:$M$15))</f>
        <v>0</v>
      </c>
      <c r="G10" s="228">
        <f t="shared" si="10"/>
        <v>0</v>
      </c>
      <c r="H10" s="228" cm="1">
        <f t="array" ref="H10">IF(OR(A10="",I10="",I10=$G$32),0,_xlfn.XLOOKUP(A10,'Rent Limits'!$A$5:$A$8,_xlfn.XLOOKUP(I10,'Rent Limits'!$B$4:$F$4,'Rent Limits'!$B$5:$F$8)))</f>
        <v>0</v>
      </c>
      <c r="I10" s="517"/>
      <c r="K10" s="548" t="str">
        <f t="shared" si="0"/>
        <v/>
      </c>
      <c r="L10" s="549">
        <f t="shared" si="1"/>
        <v>0</v>
      </c>
      <c r="M10" s="219">
        <f t="shared" si="2"/>
        <v>0</v>
      </c>
      <c r="N10" s="601">
        <f t="shared" si="3"/>
        <v>0</v>
      </c>
      <c r="O10" s="221">
        <f t="shared" ref="O10:W10" si="39">N10*(1+O$17)</f>
        <v>0</v>
      </c>
      <c r="P10" s="221">
        <f t="shared" si="39"/>
        <v>0</v>
      </c>
      <c r="Q10" s="221">
        <f t="shared" si="39"/>
        <v>0</v>
      </c>
      <c r="R10" s="221">
        <f t="shared" si="39"/>
        <v>0</v>
      </c>
      <c r="S10" s="221">
        <f t="shared" si="39"/>
        <v>0</v>
      </c>
      <c r="T10" s="221">
        <f t="shared" si="39"/>
        <v>0</v>
      </c>
      <c r="U10" s="221">
        <f t="shared" si="39"/>
        <v>0</v>
      </c>
      <c r="V10" s="221">
        <f t="shared" si="39"/>
        <v>0</v>
      </c>
      <c r="W10" s="222">
        <f t="shared" si="39"/>
        <v>0</v>
      </c>
      <c r="Y10" s="548" t="str">
        <f t="shared" si="12"/>
        <v/>
      </c>
      <c r="Z10" s="628">
        <f t="shared" si="13"/>
        <v>0</v>
      </c>
      <c r="AA10" s="601">
        <f t="shared" si="5"/>
        <v>0</v>
      </c>
      <c r="AB10" s="220">
        <f t="shared" si="14"/>
        <v>0</v>
      </c>
      <c r="AC10" s="221">
        <f t="shared" ref="AC10:AK10" si="40">AB10*(1+$AB$17)</f>
        <v>0</v>
      </c>
      <c r="AD10" s="221">
        <f t="shared" si="40"/>
        <v>0</v>
      </c>
      <c r="AE10" s="221">
        <f t="shared" si="40"/>
        <v>0</v>
      </c>
      <c r="AF10" s="221">
        <f t="shared" si="40"/>
        <v>0</v>
      </c>
      <c r="AG10" s="221">
        <f t="shared" si="40"/>
        <v>0</v>
      </c>
      <c r="AH10" s="221">
        <f t="shared" si="40"/>
        <v>0</v>
      </c>
      <c r="AI10" s="221">
        <f t="shared" si="40"/>
        <v>0</v>
      </c>
      <c r="AJ10" s="221">
        <f t="shared" si="40"/>
        <v>0</v>
      </c>
      <c r="AK10" s="222">
        <f t="shared" si="40"/>
        <v>0</v>
      </c>
      <c r="AM10" s="548" t="str">
        <f t="shared" si="16"/>
        <v/>
      </c>
      <c r="AN10" s="628">
        <f t="shared" si="17"/>
        <v>0</v>
      </c>
      <c r="AO10" s="219">
        <f t="shared" si="7"/>
        <v>0</v>
      </c>
      <c r="AP10" s="220">
        <f t="shared" si="18"/>
        <v>0</v>
      </c>
      <c r="AQ10" s="221">
        <f t="shared" ref="AQ10:AY10" si="41">AP10*(1+$AP$17)</f>
        <v>0</v>
      </c>
      <c r="AR10" s="221">
        <f t="shared" si="41"/>
        <v>0</v>
      </c>
      <c r="AS10" s="221">
        <f t="shared" si="41"/>
        <v>0</v>
      </c>
      <c r="AT10" s="221">
        <f t="shared" si="41"/>
        <v>0</v>
      </c>
      <c r="AU10" s="221">
        <f t="shared" si="41"/>
        <v>0</v>
      </c>
      <c r="AV10" s="221">
        <f t="shared" si="41"/>
        <v>0</v>
      </c>
      <c r="AW10" s="221">
        <f t="shared" si="41"/>
        <v>0</v>
      </c>
      <c r="AX10" s="221">
        <f t="shared" si="41"/>
        <v>0</v>
      </c>
      <c r="AY10" s="222">
        <f t="shared" si="41"/>
        <v>0</v>
      </c>
      <c r="BA10" s="548" t="str">
        <f t="shared" si="20"/>
        <v/>
      </c>
      <c r="BB10" s="628">
        <f t="shared" si="21"/>
        <v>0</v>
      </c>
      <c r="BC10" s="219">
        <f t="shared" si="22"/>
        <v>0</v>
      </c>
      <c r="BD10" s="601">
        <f t="shared" si="23"/>
        <v>0</v>
      </c>
      <c r="BE10" s="221">
        <f t="shared" si="24"/>
        <v>0</v>
      </c>
      <c r="BF10" s="221">
        <f t="shared" si="25"/>
        <v>0</v>
      </c>
      <c r="BG10" s="221">
        <f t="shared" si="26"/>
        <v>0</v>
      </c>
      <c r="BH10" s="221">
        <f t="shared" si="27"/>
        <v>0</v>
      </c>
      <c r="BI10" s="221">
        <f t="shared" si="28"/>
        <v>0</v>
      </c>
      <c r="BJ10" s="221">
        <f t="shared" si="29"/>
        <v>0</v>
      </c>
      <c r="BK10" s="221">
        <f t="shared" si="30"/>
        <v>0</v>
      </c>
      <c r="BL10" s="221">
        <f t="shared" si="31"/>
        <v>0</v>
      </c>
      <c r="BM10" s="222">
        <f t="shared" si="32"/>
        <v>0</v>
      </c>
    </row>
    <row r="11" spans="1:65" ht="20.100000000000001" customHeight="1" x14ac:dyDescent="0.35">
      <c r="A11" s="544"/>
      <c r="B11" s="522"/>
      <c r="C11" s="522"/>
      <c r="D11" s="515"/>
      <c r="E11" s="515"/>
      <c r="F11" s="228">
        <f>IF(I11=$G$32,0,SUMIF('Utility Allowances'!$A$6:$A$15,A11,'Utility Allowances'!$M$6:$M$15))</f>
        <v>0</v>
      </c>
      <c r="G11" s="228">
        <f t="shared" si="10"/>
        <v>0</v>
      </c>
      <c r="H11" s="228" cm="1">
        <f t="array" ref="H11">IF(OR(A11="",I11="",I11=$G$32),0,_xlfn.XLOOKUP(A11,'Rent Limits'!$A$5:$A$8,_xlfn.XLOOKUP(I11,'Rent Limits'!$B$4:$F$4,'Rent Limits'!$B$5:$F$8)))</f>
        <v>0</v>
      </c>
      <c r="I11" s="517"/>
      <c r="K11" s="548" t="str">
        <f t="shared" si="0"/>
        <v/>
      </c>
      <c r="L11" s="549">
        <f t="shared" si="1"/>
        <v>0</v>
      </c>
      <c r="M11" s="219">
        <f t="shared" si="2"/>
        <v>0</v>
      </c>
      <c r="N11" s="601">
        <f t="shared" si="3"/>
        <v>0</v>
      </c>
      <c r="O11" s="221">
        <f t="shared" ref="O11:W11" si="42">N11*(1+O$17)</f>
        <v>0</v>
      </c>
      <c r="P11" s="221">
        <f t="shared" si="42"/>
        <v>0</v>
      </c>
      <c r="Q11" s="221">
        <f t="shared" si="42"/>
        <v>0</v>
      </c>
      <c r="R11" s="221">
        <f t="shared" si="42"/>
        <v>0</v>
      </c>
      <c r="S11" s="221">
        <f t="shared" si="42"/>
        <v>0</v>
      </c>
      <c r="T11" s="221">
        <f t="shared" si="42"/>
        <v>0</v>
      </c>
      <c r="U11" s="221">
        <f t="shared" si="42"/>
        <v>0</v>
      </c>
      <c r="V11" s="221">
        <f t="shared" si="42"/>
        <v>0</v>
      </c>
      <c r="W11" s="222">
        <f t="shared" si="42"/>
        <v>0</v>
      </c>
      <c r="Y11" s="548" t="str">
        <f t="shared" si="12"/>
        <v/>
      </c>
      <c r="Z11" s="628">
        <f t="shared" si="13"/>
        <v>0</v>
      </c>
      <c r="AA11" s="601">
        <f t="shared" si="5"/>
        <v>0</v>
      </c>
      <c r="AB11" s="220">
        <f t="shared" si="14"/>
        <v>0</v>
      </c>
      <c r="AC11" s="221">
        <f t="shared" ref="AC11:AK11" si="43">AB11*(1+$AB$17)</f>
        <v>0</v>
      </c>
      <c r="AD11" s="221">
        <f t="shared" si="43"/>
        <v>0</v>
      </c>
      <c r="AE11" s="221">
        <f t="shared" si="43"/>
        <v>0</v>
      </c>
      <c r="AF11" s="221">
        <f t="shared" si="43"/>
        <v>0</v>
      </c>
      <c r="AG11" s="221">
        <f t="shared" si="43"/>
        <v>0</v>
      </c>
      <c r="AH11" s="221">
        <f t="shared" si="43"/>
        <v>0</v>
      </c>
      <c r="AI11" s="221">
        <f t="shared" si="43"/>
        <v>0</v>
      </c>
      <c r="AJ11" s="221">
        <f t="shared" si="43"/>
        <v>0</v>
      </c>
      <c r="AK11" s="222">
        <f t="shared" si="43"/>
        <v>0</v>
      </c>
      <c r="AM11" s="548" t="str">
        <f t="shared" si="16"/>
        <v/>
      </c>
      <c r="AN11" s="628">
        <f t="shared" si="17"/>
        <v>0</v>
      </c>
      <c r="AO11" s="219">
        <f t="shared" si="7"/>
        <v>0</v>
      </c>
      <c r="AP11" s="220">
        <f t="shared" si="18"/>
        <v>0</v>
      </c>
      <c r="AQ11" s="221">
        <f t="shared" ref="AQ11:AY11" si="44">AP11*(1+$AP$17)</f>
        <v>0</v>
      </c>
      <c r="AR11" s="221">
        <f t="shared" si="44"/>
        <v>0</v>
      </c>
      <c r="AS11" s="221">
        <f t="shared" si="44"/>
        <v>0</v>
      </c>
      <c r="AT11" s="221">
        <f t="shared" si="44"/>
        <v>0</v>
      </c>
      <c r="AU11" s="221">
        <f t="shared" si="44"/>
        <v>0</v>
      </c>
      <c r="AV11" s="221">
        <f t="shared" si="44"/>
        <v>0</v>
      </c>
      <c r="AW11" s="221">
        <f t="shared" si="44"/>
        <v>0</v>
      </c>
      <c r="AX11" s="221">
        <f t="shared" si="44"/>
        <v>0</v>
      </c>
      <c r="AY11" s="222">
        <f t="shared" si="44"/>
        <v>0</v>
      </c>
      <c r="BA11" s="548" t="str">
        <f t="shared" si="20"/>
        <v/>
      </c>
      <c r="BB11" s="628">
        <f t="shared" si="21"/>
        <v>0</v>
      </c>
      <c r="BC11" s="219">
        <f t="shared" si="22"/>
        <v>0</v>
      </c>
      <c r="BD11" s="601">
        <f t="shared" si="23"/>
        <v>0</v>
      </c>
      <c r="BE11" s="221">
        <f t="shared" si="24"/>
        <v>0</v>
      </c>
      <c r="BF11" s="221">
        <f t="shared" si="25"/>
        <v>0</v>
      </c>
      <c r="BG11" s="221">
        <f t="shared" si="26"/>
        <v>0</v>
      </c>
      <c r="BH11" s="221">
        <f t="shared" si="27"/>
        <v>0</v>
      </c>
      <c r="BI11" s="221">
        <f t="shared" si="28"/>
        <v>0</v>
      </c>
      <c r="BJ11" s="221">
        <f t="shared" si="29"/>
        <v>0</v>
      </c>
      <c r="BK11" s="221">
        <f t="shared" si="30"/>
        <v>0</v>
      </c>
      <c r="BL11" s="221">
        <f t="shared" si="31"/>
        <v>0</v>
      </c>
      <c r="BM11" s="222">
        <f t="shared" si="32"/>
        <v>0</v>
      </c>
    </row>
    <row r="12" spans="1:65" ht="20.100000000000001" customHeight="1" x14ac:dyDescent="0.35">
      <c r="A12" s="544"/>
      <c r="B12" s="522"/>
      <c r="C12" s="522"/>
      <c r="D12" s="515"/>
      <c r="E12" s="515"/>
      <c r="F12" s="228">
        <f>IF(I12=$G$32,0,SUMIF('Utility Allowances'!$A$6:$A$15,A12,'Utility Allowances'!$M$6:$M$15))</f>
        <v>0</v>
      </c>
      <c r="G12" s="228">
        <f t="shared" si="10"/>
        <v>0</v>
      </c>
      <c r="H12" s="228" cm="1">
        <f t="array" ref="H12">IF(OR(A12="",I12="",I12=$G$32),0,_xlfn.XLOOKUP(A12,'Rent Limits'!$A$5:$A$8,_xlfn.XLOOKUP(I12,'Rent Limits'!$B$4:$F$4,'Rent Limits'!$B$5:$F$8)))</f>
        <v>0</v>
      </c>
      <c r="I12" s="517"/>
      <c r="K12" s="548" t="str">
        <f t="shared" si="0"/>
        <v/>
      </c>
      <c r="L12" s="549">
        <f t="shared" si="1"/>
        <v>0</v>
      </c>
      <c r="M12" s="219">
        <f t="shared" si="2"/>
        <v>0</v>
      </c>
      <c r="N12" s="601">
        <f t="shared" si="3"/>
        <v>0</v>
      </c>
      <c r="O12" s="221">
        <f t="shared" ref="O12:W12" si="45">N12*(1+O$17)</f>
        <v>0</v>
      </c>
      <c r="P12" s="221">
        <f t="shared" si="45"/>
        <v>0</v>
      </c>
      <c r="Q12" s="221">
        <f t="shared" si="45"/>
        <v>0</v>
      </c>
      <c r="R12" s="221">
        <f t="shared" si="45"/>
        <v>0</v>
      </c>
      <c r="S12" s="221">
        <f t="shared" si="45"/>
        <v>0</v>
      </c>
      <c r="T12" s="221">
        <f t="shared" si="45"/>
        <v>0</v>
      </c>
      <c r="U12" s="221">
        <f t="shared" si="45"/>
        <v>0</v>
      </c>
      <c r="V12" s="221">
        <f t="shared" si="45"/>
        <v>0</v>
      </c>
      <c r="W12" s="222">
        <f t="shared" si="45"/>
        <v>0</v>
      </c>
      <c r="Y12" s="548" t="str">
        <f t="shared" si="12"/>
        <v/>
      </c>
      <c r="Z12" s="628">
        <f t="shared" si="13"/>
        <v>0</v>
      </c>
      <c r="AA12" s="601">
        <f t="shared" si="5"/>
        <v>0</v>
      </c>
      <c r="AB12" s="220">
        <f t="shared" si="14"/>
        <v>0</v>
      </c>
      <c r="AC12" s="221">
        <f t="shared" ref="AC12:AK12" si="46">AB12*(1+$AB$17)</f>
        <v>0</v>
      </c>
      <c r="AD12" s="221">
        <f t="shared" si="46"/>
        <v>0</v>
      </c>
      <c r="AE12" s="221">
        <f t="shared" si="46"/>
        <v>0</v>
      </c>
      <c r="AF12" s="221">
        <f t="shared" si="46"/>
        <v>0</v>
      </c>
      <c r="AG12" s="221">
        <f t="shared" si="46"/>
        <v>0</v>
      </c>
      <c r="AH12" s="221">
        <f t="shared" si="46"/>
        <v>0</v>
      </c>
      <c r="AI12" s="221">
        <f t="shared" si="46"/>
        <v>0</v>
      </c>
      <c r="AJ12" s="221">
        <f t="shared" si="46"/>
        <v>0</v>
      </c>
      <c r="AK12" s="222">
        <f t="shared" si="46"/>
        <v>0</v>
      </c>
      <c r="AM12" s="548" t="str">
        <f t="shared" si="16"/>
        <v/>
      </c>
      <c r="AN12" s="628">
        <f t="shared" si="17"/>
        <v>0</v>
      </c>
      <c r="AO12" s="219">
        <f t="shared" si="7"/>
        <v>0</v>
      </c>
      <c r="AP12" s="220">
        <f t="shared" si="18"/>
        <v>0</v>
      </c>
      <c r="AQ12" s="221">
        <f t="shared" ref="AQ12:AY12" si="47">AP12*(1+$AP$17)</f>
        <v>0</v>
      </c>
      <c r="AR12" s="221">
        <f t="shared" si="47"/>
        <v>0</v>
      </c>
      <c r="AS12" s="221">
        <f t="shared" si="47"/>
        <v>0</v>
      </c>
      <c r="AT12" s="221">
        <f t="shared" si="47"/>
        <v>0</v>
      </c>
      <c r="AU12" s="221">
        <f t="shared" si="47"/>
        <v>0</v>
      </c>
      <c r="AV12" s="221">
        <f t="shared" si="47"/>
        <v>0</v>
      </c>
      <c r="AW12" s="221">
        <f t="shared" si="47"/>
        <v>0</v>
      </c>
      <c r="AX12" s="221">
        <f t="shared" si="47"/>
        <v>0</v>
      </c>
      <c r="AY12" s="222">
        <f t="shared" si="47"/>
        <v>0</v>
      </c>
      <c r="BA12" s="548" t="str">
        <f t="shared" si="20"/>
        <v/>
      </c>
      <c r="BB12" s="628">
        <f t="shared" si="21"/>
        <v>0</v>
      </c>
      <c r="BC12" s="219">
        <f t="shared" si="22"/>
        <v>0</v>
      </c>
      <c r="BD12" s="601">
        <f t="shared" si="23"/>
        <v>0</v>
      </c>
      <c r="BE12" s="221">
        <f t="shared" si="24"/>
        <v>0</v>
      </c>
      <c r="BF12" s="221">
        <f t="shared" si="25"/>
        <v>0</v>
      </c>
      <c r="BG12" s="221">
        <f t="shared" si="26"/>
        <v>0</v>
      </c>
      <c r="BH12" s="221">
        <f t="shared" si="27"/>
        <v>0</v>
      </c>
      <c r="BI12" s="221">
        <f t="shared" si="28"/>
        <v>0</v>
      </c>
      <c r="BJ12" s="221">
        <f t="shared" si="29"/>
        <v>0</v>
      </c>
      <c r="BK12" s="221">
        <f t="shared" si="30"/>
        <v>0</v>
      </c>
      <c r="BL12" s="221">
        <f t="shared" si="31"/>
        <v>0</v>
      </c>
      <c r="BM12" s="222">
        <f t="shared" si="32"/>
        <v>0</v>
      </c>
    </row>
    <row r="13" spans="1:65" ht="20.100000000000001" customHeight="1" x14ac:dyDescent="0.35">
      <c r="A13" s="544"/>
      <c r="B13" s="522"/>
      <c r="C13" s="522"/>
      <c r="D13" s="515"/>
      <c r="E13" s="515"/>
      <c r="F13" s="228">
        <f>IF(I13=$G$32,0,SUMIF('Utility Allowances'!$A$6:$A$15,A13,'Utility Allowances'!$M$6:$M$15))</f>
        <v>0</v>
      </c>
      <c r="G13" s="228">
        <f t="shared" si="10"/>
        <v>0</v>
      </c>
      <c r="H13" s="228" cm="1">
        <f t="array" ref="H13">IF(OR(A13="",I13="",I13=$G$32),0,_xlfn.XLOOKUP(A13,'Rent Limits'!$A$5:$A$8,_xlfn.XLOOKUP(I13,'Rent Limits'!$B$4:$F$4,'Rent Limits'!$B$5:$F$8)))</f>
        <v>0</v>
      </c>
      <c r="I13" s="517"/>
      <c r="K13" s="548" t="str">
        <f t="shared" si="0"/>
        <v/>
      </c>
      <c r="L13" s="549">
        <f t="shared" si="1"/>
        <v>0</v>
      </c>
      <c r="M13" s="219">
        <f t="shared" si="2"/>
        <v>0</v>
      </c>
      <c r="N13" s="601">
        <f t="shared" si="3"/>
        <v>0</v>
      </c>
      <c r="O13" s="221">
        <f t="shared" ref="O13:W13" si="48">N13*(1+O$17)</f>
        <v>0</v>
      </c>
      <c r="P13" s="221">
        <f t="shared" si="48"/>
        <v>0</v>
      </c>
      <c r="Q13" s="221">
        <f t="shared" si="48"/>
        <v>0</v>
      </c>
      <c r="R13" s="221">
        <f t="shared" si="48"/>
        <v>0</v>
      </c>
      <c r="S13" s="221">
        <f t="shared" si="48"/>
        <v>0</v>
      </c>
      <c r="T13" s="221">
        <f t="shared" si="48"/>
        <v>0</v>
      </c>
      <c r="U13" s="221">
        <f t="shared" si="48"/>
        <v>0</v>
      </c>
      <c r="V13" s="221">
        <f t="shared" si="48"/>
        <v>0</v>
      </c>
      <c r="W13" s="222">
        <f t="shared" si="48"/>
        <v>0</v>
      </c>
      <c r="Y13" s="548" t="str">
        <f t="shared" si="12"/>
        <v/>
      </c>
      <c r="Z13" s="628">
        <f t="shared" si="13"/>
        <v>0</v>
      </c>
      <c r="AA13" s="601">
        <f t="shared" si="5"/>
        <v>0</v>
      </c>
      <c r="AB13" s="220">
        <f t="shared" si="14"/>
        <v>0</v>
      </c>
      <c r="AC13" s="221">
        <f t="shared" ref="AC13:AK13" si="49">AB13*(1+$AB$17)</f>
        <v>0</v>
      </c>
      <c r="AD13" s="221">
        <f t="shared" si="49"/>
        <v>0</v>
      </c>
      <c r="AE13" s="221">
        <f t="shared" si="49"/>
        <v>0</v>
      </c>
      <c r="AF13" s="221">
        <f t="shared" si="49"/>
        <v>0</v>
      </c>
      <c r="AG13" s="221">
        <f t="shared" si="49"/>
        <v>0</v>
      </c>
      <c r="AH13" s="221">
        <f t="shared" si="49"/>
        <v>0</v>
      </c>
      <c r="AI13" s="221">
        <f t="shared" si="49"/>
        <v>0</v>
      </c>
      <c r="AJ13" s="221">
        <f t="shared" si="49"/>
        <v>0</v>
      </c>
      <c r="AK13" s="222">
        <f t="shared" si="49"/>
        <v>0</v>
      </c>
      <c r="AM13" s="548" t="str">
        <f t="shared" si="16"/>
        <v/>
      </c>
      <c r="AN13" s="628">
        <f t="shared" si="17"/>
        <v>0</v>
      </c>
      <c r="AO13" s="219">
        <f t="shared" si="7"/>
        <v>0</v>
      </c>
      <c r="AP13" s="220">
        <f t="shared" si="18"/>
        <v>0</v>
      </c>
      <c r="AQ13" s="221">
        <f t="shared" ref="AQ13:AY13" si="50">AP13*(1+$AP$17)</f>
        <v>0</v>
      </c>
      <c r="AR13" s="221">
        <f t="shared" si="50"/>
        <v>0</v>
      </c>
      <c r="AS13" s="221">
        <f t="shared" si="50"/>
        <v>0</v>
      </c>
      <c r="AT13" s="221">
        <f t="shared" si="50"/>
        <v>0</v>
      </c>
      <c r="AU13" s="221">
        <f t="shared" si="50"/>
        <v>0</v>
      </c>
      <c r="AV13" s="221">
        <f t="shared" si="50"/>
        <v>0</v>
      </c>
      <c r="AW13" s="221">
        <f t="shared" si="50"/>
        <v>0</v>
      </c>
      <c r="AX13" s="221">
        <f t="shared" si="50"/>
        <v>0</v>
      </c>
      <c r="AY13" s="222">
        <f t="shared" si="50"/>
        <v>0</v>
      </c>
      <c r="BA13" s="548" t="str">
        <f t="shared" si="20"/>
        <v/>
      </c>
      <c r="BB13" s="628">
        <f t="shared" si="21"/>
        <v>0</v>
      </c>
      <c r="BC13" s="219">
        <f t="shared" si="22"/>
        <v>0</v>
      </c>
      <c r="BD13" s="601">
        <f t="shared" si="23"/>
        <v>0</v>
      </c>
      <c r="BE13" s="221">
        <f t="shared" si="24"/>
        <v>0</v>
      </c>
      <c r="BF13" s="221">
        <f t="shared" si="25"/>
        <v>0</v>
      </c>
      <c r="BG13" s="221">
        <f t="shared" si="26"/>
        <v>0</v>
      </c>
      <c r="BH13" s="221">
        <f t="shared" si="27"/>
        <v>0</v>
      </c>
      <c r="BI13" s="221">
        <f t="shared" si="28"/>
        <v>0</v>
      </c>
      <c r="BJ13" s="221">
        <f t="shared" si="29"/>
        <v>0</v>
      </c>
      <c r="BK13" s="221">
        <f t="shared" si="30"/>
        <v>0</v>
      </c>
      <c r="BL13" s="221">
        <f t="shared" si="31"/>
        <v>0</v>
      </c>
      <c r="BM13" s="222">
        <f t="shared" si="32"/>
        <v>0</v>
      </c>
    </row>
    <row r="14" spans="1:65" ht="20.100000000000001" customHeight="1" x14ac:dyDescent="0.35">
      <c r="A14" s="544"/>
      <c r="B14" s="522"/>
      <c r="C14" s="522"/>
      <c r="D14" s="515"/>
      <c r="E14" s="515"/>
      <c r="F14" s="228">
        <f>IF(I14=$G$32,0,SUMIF('Utility Allowances'!$A$6:$A$15,A14,'Utility Allowances'!$M$6:$M$15))</f>
        <v>0</v>
      </c>
      <c r="G14" s="228">
        <f t="shared" si="10"/>
        <v>0</v>
      </c>
      <c r="H14" s="228" cm="1">
        <f t="array" ref="H14">IF(OR(A14="",I14="",I14=$G$32),0,_xlfn.XLOOKUP(A14,'Rent Limits'!$A$5:$A$8,_xlfn.XLOOKUP(I14,'Rent Limits'!$B$4:$F$4,'Rent Limits'!$B$5:$F$8)))</f>
        <v>0</v>
      </c>
      <c r="I14" s="517"/>
      <c r="K14" s="548" t="str">
        <f t="shared" si="0"/>
        <v/>
      </c>
      <c r="L14" s="549">
        <f t="shared" si="1"/>
        <v>0</v>
      </c>
      <c r="M14" s="219">
        <f t="shared" si="2"/>
        <v>0</v>
      </c>
      <c r="N14" s="601">
        <f t="shared" si="3"/>
        <v>0</v>
      </c>
      <c r="O14" s="221">
        <f t="shared" ref="O14:W14" si="51">N14*(1+O$17)</f>
        <v>0</v>
      </c>
      <c r="P14" s="221">
        <f t="shared" si="51"/>
        <v>0</v>
      </c>
      <c r="Q14" s="221">
        <f t="shared" si="51"/>
        <v>0</v>
      </c>
      <c r="R14" s="221">
        <f t="shared" si="51"/>
        <v>0</v>
      </c>
      <c r="S14" s="221">
        <f t="shared" si="51"/>
        <v>0</v>
      </c>
      <c r="T14" s="221">
        <f t="shared" si="51"/>
        <v>0</v>
      </c>
      <c r="U14" s="221">
        <f t="shared" si="51"/>
        <v>0</v>
      </c>
      <c r="V14" s="221">
        <f t="shared" si="51"/>
        <v>0</v>
      </c>
      <c r="W14" s="222">
        <f t="shared" si="51"/>
        <v>0</v>
      </c>
      <c r="Y14" s="548" t="str">
        <f t="shared" si="12"/>
        <v/>
      </c>
      <c r="Z14" s="628">
        <f t="shared" si="13"/>
        <v>0</v>
      </c>
      <c r="AA14" s="601">
        <f t="shared" si="5"/>
        <v>0</v>
      </c>
      <c r="AB14" s="220">
        <f t="shared" si="14"/>
        <v>0</v>
      </c>
      <c r="AC14" s="221">
        <f t="shared" ref="AC14:AK14" si="52">AB14*(1+$AB$17)</f>
        <v>0</v>
      </c>
      <c r="AD14" s="221">
        <f t="shared" si="52"/>
        <v>0</v>
      </c>
      <c r="AE14" s="221">
        <f t="shared" si="52"/>
        <v>0</v>
      </c>
      <c r="AF14" s="221">
        <f t="shared" si="52"/>
        <v>0</v>
      </c>
      <c r="AG14" s="221">
        <f t="shared" si="52"/>
        <v>0</v>
      </c>
      <c r="AH14" s="221">
        <f t="shared" si="52"/>
        <v>0</v>
      </c>
      <c r="AI14" s="221">
        <f t="shared" si="52"/>
        <v>0</v>
      </c>
      <c r="AJ14" s="221">
        <f t="shared" si="52"/>
        <v>0</v>
      </c>
      <c r="AK14" s="222">
        <f t="shared" si="52"/>
        <v>0</v>
      </c>
      <c r="AM14" s="548" t="str">
        <f t="shared" si="16"/>
        <v/>
      </c>
      <c r="AN14" s="628">
        <f t="shared" si="17"/>
        <v>0</v>
      </c>
      <c r="AO14" s="219">
        <f t="shared" si="7"/>
        <v>0</v>
      </c>
      <c r="AP14" s="220">
        <f t="shared" si="18"/>
        <v>0</v>
      </c>
      <c r="AQ14" s="221">
        <f t="shared" ref="AQ14:AY14" si="53">AP14*(1+$AP$17)</f>
        <v>0</v>
      </c>
      <c r="AR14" s="221">
        <f t="shared" si="53"/>
        <v>0</v>
      </c>
      <c r="AS14" s="221">
        <f t="shared" si="53"/>
        <v>0</v>
      </c>
      <c r="AT14" s="221">
        <f t="shared" si="53"/>
        <v>0</v>
      </c>
      <c r="AU14" s="221">
        <f t="shared" si="53"/>
        <v>0</v>
      </c>
      <c r="AV14" s="221">
        <f t="shared" si="53"/>
        <v>0</v>
      </c>
      <c r="AW14" s="221">
        <f t="shared" si="53"/>
        <v>0</v>
      </c>
      <c r="AX14" s="221">
        <f t="shared" si="53"/>
        <v>0</v>
      </c>
      <c r="AY14" s="222">
        <f t="shared" si="53"/>
        <v>0</v>
      </c>
      <c r="BA14" s="548" t="str">
        <f t="shared" si="20"/>
        <v/>
      </c>
      <c r="BB14" s="628">
        <f t="shared" si="21"/>
        <v>0</v>
      </c>
      <c r="BC14" s="219">
        <f t="shared" si="22"/>
        <v>0</v>
      </c>
      <c r="BD14" s="601">
        <f t="shared" si="23"/>
        <v>0</v>
      </c>
      <c r="BE14" s="221">
        <f t="shared" si="24"/>
        <v>0</v>
      </c>
      <c r="BF14" s="221">
        <f t="shared" si="25"/>
        <v>0</v>
      </c>
      <c r="BG14" s="221">
        <f t="shared" si="26"/>
        <v>0</v>
      </c>
      <c r="BH14" s="221">
        <f t="shared" si="27"/>
        <v>0</v>
      </c>
      <c r="BI14" s="221">
        <f t="shared" si="28"/>
        <v>0</v>
      </c>
      <c r="BJ14" s="221">
        <f t="shared" si="29"/>
        <v>0</v>
      </c>
      <c r="BK14" s="221">
        <f t="shared" si="30"/>
        <v>0</v>
      </c>
      <c r="BL14" s="221">
        <f t="shared" si="31"/>
        <v>0</v>
      </c>
      <c r="BM14" s="222">
        <f t="shared" si="32"/>
        <v>0</v>
      </c>
    </row>
    <row r="15" spans="1:65" ht="20.100000000000001" customHeight="1" x14ac:dyDescent="0.35">
      <c r="A15" s="545"/>
      <c r="B15" s="523"/>
      <c r="C15" s="523"/>
      <c r="D15" s="519"/>
      <c r="E15" s="519"/>
      <c r="F15" s="229">
        <f>IF(I15=$G$32,0,SUMIF('Utility Allowances'!$A$6:$A$15,A15,'Utility Allowances'!$M$6:$M$15))</f>
        <v>0</v>
      </c>
      <c r="G15" s="229">
        <f t="shared" si="10"/>
        <v>0</v>
      </c>
      <c r="H15" s="229" cm="1">
        <f t="array" ref="H15">IF(OR(A15="",I15="",I15=$G$32),0,_xlfn.XLOOKUP(A15,'Rent Limits'!$A$5:$A$8,_xlfn.XLOOKUP(I15,'Rent Limits'!$B$4:$F$4,'Rent Limits'!$B$5:$F$8)))</f>
        <v>0</v>
      </c>
      <c r="I15" s="520"/>
      <c r="K15" s="550" t="str">
        <f t="shared" si="0"/>
        <v/>
      </c>
      <c r="L15" s="551">
        <f t="shared" si="1"/>
        <v>0</v>
      </c>
      <c r="M15" s="223">
        <f t="shared" si="2"/>
        <v>0</v>
      </c>
      <c r="N15" s="602">
        <f t="shared" si="3"/>
        <v>0</v>
      </c>
      <c r="O15" s="225">
        <f t="shared" ref="O15:W15" si="54">N15*(1+O$17)</f>
        <v>0</v>
      </c>
      <c r="P15" s="225">
        <f t="shared" si="54"/>
        <v>0</v>
      </c>
      <c r="Q15" s="225">
        <f t="shared" si="54"/>
        <v>0</v>
      </c>
      <c r="R15" s="225">
        <f t="shared" si="54"/>
        <v>0</v>
      </c>
      <c r="S15" s="225">
        <f t="shared" si="54"/>
        <v>0</v>
      </c>
      <c r="T15" s="225">
        <f t="shared" si="54"/>
        <v>0</v>
      </c>
      <c r="U15" s="225">
        <f t="shared" si="54"/>
        <v>0</v>
      </c>
      <c r="V15" s="225">
        <f t="shared" si="54"/>
        <v>0</v>
      </c>
      <c r="W15" s="226">
        <f t="shared" si="54"/>
        <v>0</v>
      </c>
      <c r="Y15" s="550" t="str">
        <f t="shared" si="12"/>
        <v/>
      </c>
      <c r="Z15" s="629">
        <f t="shared" si="13"/>
        <v>0</v>
      </c>
      <c r="AA15" s="602">
        <f t="shared" si="5"/>
        <v>0</v>
      </c>
      <c r="AB15" s="224">
        <f t="shared" si="14"/>
        <v>0</v>
      </c>
      <c r="AC15" s="225">
        <f t="shared" ref="AC15:AK15" si="55">AB15*(1+$AB$17)</f>
        <v>0</v>
      </c>
      <c r="AD15" s="225">
        <f t="shared" si="55"/>
        <v>0</v>
      </c>
      <c r="AE15" s="225">
        <f t="shared" si="55"/>
        <v>0</v>
      </c>
      <c r="AF15" s="225">
        <f t="shared" si="55"/>
        <v>0</v>
      </c>
      <c r="AG15" s="225">
        <f t="shared" si="55"/>
        <v>0</v>
      </c>
      <c r="AH15" s="225">
        <f t="shared" si="55"/>
        <v>0</v>
      </c>
      <c r="AI15" s="225">
        <f t="shared" si="55"/>
        <v>0</v>
      </c>
      <c r="AJ15" s="225">
        <f t="shared" si="55"/>
        <v>0</v>
      </c>
      <c r="AK15" s="226">
        <f t="shared" si="55"/>
        <v>0</v>
      </c>
      <c r="AM15" s="550" t="str">
        <f t="shared" si="16"/>
        <v/>
      </c>
      <c r="AN15" s="629">
        <f t="shared" si="17"/>
        <v>0</v>
      </c>
      <c r="AO15" s="223">
        <f t="shared" si="7"/>
        <v>0</v>
      </c>
      <c r="AP15" s="224">
        <f t="shared" si="18"/>
        <v>0</v>
      </c>
      <c r="AQ15" s="225">
        <f t="shared" ref="AQ15:AY15" si="56">AP15*(1+$AP$17)</f>
        <v>0</v>
      </c>
      <c r="AR15" s="225">
        <f t="shared" si="56"/>
        <v>0</v>
      </c>
      <c r="AS15" s="225">
        <f t="shared" si="56"/>
        <v>0</v>
      </c>
      <c r="AT15" s="225">
        <f t="shared" si="56"/>
        <v>0</v>
      </c>
      <c r="AU15" s="225">
        <f t="shared" si="56"/>
        <v>0</v>
      </c>
      <c r="AV15" s="225">
        <f t="shared" si="56"/>
        <v>0</v>
      </c>
      <c r="AW15" s="225">
        <f t="shared" si="56"/>
        <v>0</v>
      </c>
      <c r="AX15" s="225">
        <f t="shared" si="56"/>
        <v>0</v>
      </c>
      <c r="AY15" s="226">
        <f t="shared" si="56"/>
        <v>0</v>
      </c>
      <c r="BA15" s="550" t="str">
        <f t="shared" si="20"/>
        <v/>
      </c>
      <c r="BB15" s="629">
        <f t="shared" si="21"/>
        <v>0</v>
      </c>
      <c r="BC15" s="223">
        <f t="shared" si="22"/>
        <v>0</v>
      </c>
      <c r="BD15" s="602">
        <f t="shared" si="23"/>
        <v>0</v>
      </c>
      <c r="BE15" s="225">
        <f t="shared" si="24"/>
        <v>0</v>
      </c>
      <c r="BF15" s="225">
        <f t="shared" si="25"/>
        <v>0</v>
      </c>
      <c r="BG15" s="225">
        <f t="shared" si="26"/>
        <v>0</v>
      </c>
      <c r="BH15" s="225">
        <f t="shared" si="27"/>
        <v>0</v>
      </c>
      <c r="BI15" s="225">
        <f t="shared" si="28"/>
        <v>0</v>
      </c>
      <c r="BJ15" s="225">
        <f t="shared" si="29"/>
        <v>0</v>
      </c>
      <c r="BK15" s="225">
        <f t="shared" si="30"/>
        <v>0</v>
      </c>
      <c r="BL15" s="225">
        <f t="shared" si="31"/>
        <v>0</v>
      </c>
      <c r="BM15" s="226">
        <f t="shared" si="32"/>
        <v>0</v>
      </c>
    </row>
    <row r="16" spans="1:65" ht="20.100000000000001" customHeight="1" x14ac:dyDescent="0.35">
      <c r="A16" s="722" t="s">
        <v>186</v>
      </c>
      <c r="B16" s="723"/>
      <c r="C16" s="241">
        <f>C18-C17</f>
        <v>0</v>
      </c>
      <c r="D16" s="243">
        <f>SUMPRODUCT($L$6:$L$15,$M$6:$M$15)</f>
        <v>0</v>
      </c>
      <c r="E16" s="570">
        <f>SUMPRODUCT($L$6:$L$15,$N$6:$N$15)</f>
        <v>0</v>
      </c>
      <c r="F16" s="732" t="s">
        <v>193</v>
      </c>
      <c r="G16" s="733"/>
      <c r="H16" s="733"/>
      <c r="I16" s="734"/>
      <c r="K16" s="586"/>
      <c r="L16" s="585"/>
      <c r="M16" s="587"/>
      <c r="N16" s="587"/>
      <c r="O16" s="587"/>
      <c r="P16" s="587"/>
      <c r="Q16" s="587"/>
      <c r="R16" s="587"/>
      <c r="S16" s="587"/>
      <c r="T16" s="587"/>
      <c r="U16" s="587"/>
      <c r="V16" s="587"/>
      <c r="W16" s="622"/>
      <c r="Y16" s="630"/>
      <c r="Z16" s="587"/>
      <c r="AA16" s="587"/>
      <c r="AB16" s="587"/>
      <c r="AC16" s="587"/>
      <c r="AD16" s="587"/>
      <c r="AE16" s="587"/>
      <c r="AF16" s="587"/>
      <c r="AG16" s="587"/>
      <c r="AH16" s="587"/>
      <c r="AI16" s="587"/>
      <c r="AJ16" s="587"/>
      <c r="AK16" s="622"/>
      <c r="AM16" s="630"/>
      <c r="AN16" s="587"/>
      <c r="AO16" s="587"/>
      <c r="AP16" s="587"/>
      <c r="AQ16" s="587"/>
      <c r="AR16" s="587"/>
      <c r="AS16" s="587"/>
      <c r="AT16" s="587"/>
      <c r="AU16" s="587"/>
      <c r="AV16" s="587"/>
      <c r="AW16" s="587"/>
      <c r="AX16" s="587"/>
      <c r="AY16" s="622"/>
      <c r="BA16" s="630"/>
      <c r="BB16" s="587"/>
      <c r="BC16" s="588"/>
      <c r="BD16" s="588"/>
      <c r="BE16" s="588"/>
      <c r="BF16" s="588"/>
      <c r="BG16" s="588"/>
      <c r="BH16" s="588"/>
      <c r="BI16" s="588"/>
      <c r="BJ16" s="588"/>
      <c r="BK16" s="588"/>
      <c r="BL16" s="588"/>
      <c r="BM16" s="589"/>
    </row>
    <row r="17" spans="1:65" ht="20.100000000000001" customHeight="1" x14ac:dyDescent="0.35">
      <c r="A17" s="728" t="s">
        <v>191</v>
      </c>
      <c r="B17" s="729"/>
      <c r="C17" s="242">
        <f>SUMIF($I$6:$I$15,$G$32,$C$6:$C$15)</f>
        <v>0</v>
      </c>
      <c r="D17" s="244">
        <f>D18-D16</f>
        <v>0</v>
      </c>
      <c r="E17" s="244">
        <f>E18-E16</f>
        <v>0</v>
      </c>
      <c r="F17" s="735" t="s">
        <v>194</v>
      </c>
      <c r="G17" s="736"/>
      <c r="H17" s="736"/>
      <c r="I17" s="737"/>
      <c r="K17" s="747" t="s">
        <v>255</v>
      </c>
      <c r="L17" s="748"/>
      <c r="M17" s="749"/>
      <c r="N17" s="619">
        <f>'Property Model'!F106</f>
        <v>0</v>
      </c>
      <c r="O17" s="620">
        <f>'Property Model'!G106</f>
        <v>0.04</v>
      </c>
      <c r="P17" s="620">
        <f>'Property Model'!H106</f>
        <v>0.04</v>
      </c>
      <c r="Q17" s="620">
        <f>'Property Model'!I106</f>
        <v>0.02</v>
      </c>
      <c r="R17" s="620">
        <f>'Property Model'!J106</f>
        <v>0.02</v>
      </c>
      <c r="S17" s="620">
        <f>'Property Model'!K106</f>
        <v>0.02</v>
      </c>
      <c r="T17" s="620">
        <f>'Property Model'!L106</f>
        <v>0.02</v>
      </c>
      <c r="U17" s="620">
        <f>'Property Model'!M106</f>
        <v>0.02</v>
      </c>
      <c r="V17" s="620">
        <f>'Property Model'!N106</f>
        <v>0.02</v>
      </c>
      <c r="W17" s="621">
        <f>'Property Model'!O106</f>
        <v>0.02</v>
      </c>
      <c r="Y17" s="711" t="s">
        <v>254</v>
      </c>
      <c r="Z17" s="712"/>
      <c r="AA17" s="713"/>
      <c r="AB17" s="636">
        <v>0.01</v>
      </c>
      <c r="AC17" s="623"/>
      <c r="AD17" s="623"/>
      <c r="AE17" s="623"/>
      <c r="AF17" s="623"/>
      <c r="AG17" s="623"/>
      <c r="AH17" s="623"/>
      <c r="AI17" s="623"/>
      <c r="AJ17" s="623"/>
      <c r="AK17" s="631"/>
      <c r="AM17" s="714" t="s">
        <v>256</v>
      </c>
      <c r="AN17" s="715"/>
      <c r="AO17" s="716"/>
      <c r="AP17" s="618">
        <f>'Property Model'!B130</f>
        <v>0.03</v>
      </c>
      <c r="AQ17" s="634"/>
      <c r="AR17" s="635"/>
      <c r="AS17" s="635"/>
      <c r="AT17" s="623"/>
      <c r="AU17" s="623"/>
      <c r="AV17" s="623"/>
      <c r="AW17" s="623"/>
      <c r="AX17" s="623"/>
      <c r="AY17" s="631"/>
      <c r="BA17" s="632"/>
      <c r="BB17" s="623"/>
      <c r="BC17" s="590"/>
      <c r="BD17" s="590"/>
      <c r="BE17" s="590"/>
      <c r="BF17" s="590"/>
      <c r="BG17" s="590"/>
      <c r="BH17" s="590"/>
      <c r="BI17" s="590"/>
      <c r="BJ17" s="590"/>
      <c r="BK17" s="590"/>
      <c r="BL17" s="590"/>
      <c r="BM17" s="591"/>
    </row>
    <row r="18" spans="1:65" ht="20.100000000000001" customHeight="1" x14ac:dyDescent="0.35">
      <c r="A18" s="726" t="s">
        <v>192</v>
      </c>
      <c r="B18" s="727"/>
      <c r="C18" s="6">
        <f>SUM(C6:C15)</f>
        <v>0</v>
      </c>
      <c r="D18" s="571">
        <f>SUMPRODUCT($C$6:$C$15,$D$6:$D$15)</f>
        <v>0</v>
      </c>
      <c r="E18" s="571">
        <f>SUMPRODUCT($C$6:$C$15,$E$6:$E$15)</f>
        <v>0</v>
      </c>
      <c r="F18" s="738" t="s">
        <v>195</v>
      </c>
      <c r="G18" s="739"/>
      <c r="H18" s="739"/>
      <c r="I18" s="740"/>
      <c r="K18" s="592"/>
      <c r="L18" s="624"/>
      <c r="M18" s="624"/>
      <c r="N18" s="624"/>
      <c r="O18" s="624"/>
      <c r="P18" s="624"/>
      <c r="Q18" s="624"/>
      <c r="R18" s="624"/>
      <c r="S18" s="624"/>
      <c r="T18" s="624"/>
      <c r="U18" s="624"/>
      <c r="V18" s="624"/>
      <c r="W18" s="625"/>
      <c r="Y18" s="592"/>
      <c r="Z18" s="624"/>
      <c r="AA18" s="624"/>
      <c r="AB18" s="624"/>
      <c r="AC18" s="624"/>
      <c r="AD18" s="624"/>
      <c r="AE18" s="624"/>
      <c r="AF18" s="624"/>
      <c r="AG18" s="624"/>
      <c r="AH18" s="624"/>
      <c r="AI18" s="624"/>
      <c r="AJ18" s="624"/>
      <c r="AK18" s="625"/>
      <c r="AM18" s="592"/>
      <c r="AN18" s="624"/>
      <c r="AO18" s="624"/>
      <c r="AP18" s="624"/>
      <c r="AQ18" s="635"/>
      <c r="AR18" s="635"/>
      <c r="AS18" s="635"/>
      <c r="AT18" s="624"/>
      <c r="AU18" s="624"/>
      <c r="AV18" s="624"/>
      <c r="AW18" s="624"/>
      <c r="AX18" s="624"/>
      <c r="AY18" s="625"/>
      <c r="BA18" s="592"/>
      <c r="BB18" s="624"/>
      <c r="BC18" s="633"/>
      <c r="BD18" s="633"/>
      <c r="BE18" s="633"/>
      <c r="BF18" s="633"/>
      <c r="BG18" s="633"/>
      <c r="BH18" s="633"/>
      <c r="BI18" s="633"/>
      <c r="BJ18" s="633"/>
      <c r="BK18" s="633"/>
      <c r="BL18" s="633"/>
      <c r="BM18" s="593"/>
    </row>
    <row r="19" spans="1:65" ht="20.100000000000001" customHeight="1" x14ac:dyDescent="0.3">
      <c r="A19" s="724" t="s">
        <v>223</v>
      </c>
      <c r="B19" s="725"/>
      <c r="C19" s="524"/>
      <c r="D19" s="583"/>
      <c r="E19" s="525"/>
      <c r="F19" s="744" t="s">
        <v>220</v>
      </c>
      <c r="G19" s="745"/>
      <c r="H19" s="745"/>
      <c r="I19" s="746"/>
      <c r="K19" s="592"/>
      <c r="L19" s="624"/>
      <c r="M19" s="624"/>
      <c r="N19" s="624"/>
      <c r="O19" s="624"/>
      <c r="P19" s="624"/>
      <c r="Q19" s="624"/>
      <c r="R19" s="624"/>
      <c r="S19" s="624"/>
      <c r="T19" s="624"/>
      <c r="U19" s="624"/>
      <c r="V19" s="624"/>
      <c r="W19" s="625"/>
      <c r="Y19" s="592"/>
      <c r="Z19" s="624"/>
      <c r="AA19" s="624"/>
      <c r="AB19" s="624"/>
      <c r="AC19" s="624"/>
      <c r="AD19" s="624"/>
      <c r="AE19" s="624"/>
      <c r="AF19" s="624"/>
      <c r="AG19" s="624"/>
      <c r="AH19" s="624"/>
      <c r="AI19" s="624"/>
      <c r="AJ19" s="624"/>
      <c r="AK19" s="625"/>
      <c r="AM19" s="592"/>
      <c r="AN19" s="624"/>
      <c r="AO19" s="624"/>
      <c r="AP19" s="624"/>
      <c r="AQ19" s="624"/>
      <c r="AR19" s="624"/>
      <c r="AS19" s="624"/>
      <c r="AT19" s="624"/>
      <c r="AU19" s="624"/>
      <c r="AV19" s="624"/>
      <c r="AW19" s="624"/>
      <c r="AX19" s="624"/>
      <c r="AY19" s="625"/>
      <c r="BA19" s="592"/>
      <c r="BB19" s="624"/>
      <c r="BC19" s="633"/>
      <c r="BD19" s="633"/>
      <c r="BE19" s="633"/>
      <c r="BF19" s="633"/>
      <c r="BG19" s="633"/>
      <c r="BH19" s="633"/>
      <c r="BI19" s="633"/>
      <c r="BJ19" s="633"/>
      <c r="BK19" s="633"/>
      <c r="BL19" s="633"/>
      <c r="BM19" s="593"/>
    </row>
    <row r="20" spans="1:65" ht="20.100000000000001" customHeight="1" x14ac:dyDescent="0.35">
      <c r="A20" s="726" t="s">
        <v>222</v>
      </c>
      <c r="B20" s="727"/>
      <c r="C20" s="211">
        <f>C19</f>
        <v>0</v>
      </c>
      <c r="D20" s="210">
        <f>C19*D19</f>
        <v>0</v>
      </c>
      <c r="E20" s="210">
        <f>C19*E19</f>
        <v>0</v>
      </c>
      <c r="F20" s="741" t="s">
        <v>221</v>
      </c>
      <c r="G20" s="742"/>
      <c r="H20" s="742"/>
      <c r="I20" s="743"/>
      <c r="K20" s="730"/>
      <c r="L20" s="731"/>
      <c r="M20" s="595"/>
      <c r="N20" s="595"/>
      <c r="O20" s="595"/>
      <c r="P20" s="595"/>
      <c r="Q20" s="595"/>
      <c r="R20" s="595"/>
      <c r="S20" s="595"/>
      <c r="T20" s="595"/>
      <c r="U20" s="595"/>
      <c r="V20" s="595"/>
      <c r="W20" s="626"/>
      <c r="Y20" s="594"/>
      <c r="Z20" s="595"/>
      <c r="AA20" s="595"/>
      <c r="AB20" s="595"/>
      <c r="AC20" s="595"/>
      <c r="AD20" s="595"/>
      <c r="AE20" s="595"/>
      <c r="AF20" s="595"/>
      <c r="AG20" s="595"/>
      <c r="AH20" s="595"/>
      <c r="AI20" s="595"/>
      <c r="AJ20" s="595"/>
      <c r="AK20" s="626"/>
      <c r="AM20" s="594"/>
      <c r="AN20" s="595"/>
      <c r="AO20" s="595"/>
      <c r="AP20" s="595"/>
      <c r="AQ20" s="595"/>
      <c r="AR20" s="595"/>
      <c r="AS20" s="595"/>
      <c r="AT20" s="595"/>
      <c r="AU20" s="595"/>
      <c r="AV20" s="595"/>
      <c r="AW20" s="595"/>
      <c r="AX20" s="595"/>
      <c r="AY20" s="626"/>
      <c r="BA20" s="594"/>
      <c r="BB20" s="595"/>
      <c r="BC20" s="596"/>
      <c r="BD20" s="596"/>
      <c r="BE20" s="596"/>
      <c r="BF20" s="596"/>
      <c r="BG20" s="596"/>
      <c r="BH20" s="596"/>
      <c r="BI20" s="596"/>
      <c r="BJ20" s="596"/>
      <c r="BK20" s="596"/>
      <c r="BL20" s="596"/>
      <c r="BM20" s="597"/>
    </row>
    <row r="21" spans="1:65" ht="20.100000000000001" customHeight="1" x14ac:dyDescent="0.3">
      <c r="A21" s="703"/>
      <c r="B21" s="704"/>
      <c r="C21" s="704"/>
      <c r="D21" s="704"/>
      <c r="E21" s="704"/>
      <c r="F21" s="704"/>
      <c r="G21" s="704"/>
      <c r="H21" s="704"/>
      <c r="I21" s="705"/>
      <c r="K21" s="703"/>
      <c r="L21" s="704"/>
      <c r="M21" s="704"/>
      <c r="N21" s="704"/>
      <c r="O21" s="704"/>
      <c r="P21" s="704"/>
      <c r="Q21" s="704"/>
      <c r="R21" s="704"/>
      <c r="S21" s="704"/>
      <c r="T21" s="704"/>
      <c r="U21" s="704"/>
      <c r="V21" s="704"/>
      <c r="W21" s="705"/>
      <c r="Y21" s="703"/>
      <c r="Z21" s="704"/>
      <c r="AA21" s="704"/>
      <c r="AB21" s="704"/>
      <c r="AC21" s="704"/>
      <c r="AD21" s="704"/>
      <c r="AE21" s="704"/>
      <c r="AF21" s="704"/>
      <c r="AG21" s="704"/>
      <c r="AH21" s="704"/>
      <c r="AI21" s="704"/>
      <c r="AJ21" s="704"/>
      <c r="AK21" s="705"/>
      <c r="AM21" s="703"/>
      <c r="AN21" s="704"/>
      <c r="AO21" s="704"/>
      <c r="AP21" s="704"/>
      <c r="AQ21" s="704"/>
      <c r="AR21" s="704"/>
      <c r="AS21" s="704"/>
      <c r="AT21" s="704"/>
      <c r="AU21" s="704"/>
      <c r="AV21" s="704"/>
      <c r="AW21" s="704"/>
      <c r="AX21" s="704"/>
      <c r="AY21" s="705"/>
      <c r="BA21" s="703"/>
      <c r="BB21" s="704"/>
      <c r="BC21" s="704"/>
      <c r="BD21" s="704"/>
      <c r="BE21" s="704"/>
      <c r="BF21" s="704"/>
      <c r="BG21" s="704"/>
      <c r="BH21" s="704"/>
      <c r="BI21" s="704"/>
      <c r="BJ21" s="704"/>
      <c r="BK21" s="704"/>
      <c r="BL21" s="704"/>
      <c r="BM21" s="705"/>
    </row>
    <row r="23" spans="1:65" ht="20.100000000000001" customHeight="1" x14ac:dyDescent="0.3">
      <c r="W23" s="598"/>
      <c r="X23" s="598"/>
      <c r="Y23" s="598"/>
      <c r="Z23" s="598"/>
      <c r="AA23" s="598"/>
      <c r="AB23" s="598"/>
      <c r="AC23" s="598"/>
      <c r="AD23" s="598"/>
      <c r="AE23" s="598"/>
      <c r="AF23" s="598"/>
      <c r="AG23" s="598"/>
      <c r="AH23" s="598"/>
      <c r="AI23" s="598"/>
      <c r="AJ23" s="598"/>
      <c r="AK23" s="598"/>
      <c r="AL23" s="598"/>
      <c r="AM23" s="598"/>
      <c r="AN23" s="598"/>
    </row>
    <row r="25" spans="1:65" s="11" customFormat="1" ht="20.100000000000001" customHeight="1" x14ac:dyDescent="0.3">
      <c r="A25" s="664" t="s">
        <v>43</v>
      </c>
      <c r="B25" s="664"/>
    </row>
    <row r="26" spans="1:65" s="11" customFormat="1" ht="20.100000000000001" customHeight="1" x14ac:dyDescent="0.3">
      <c r="A26" s="664"/>
      <c r="B26" s="664"/>
      <c r="E26" s="246" t="s">
        <v>15</v>
      </c>
      <c r="G26" s="246" t="s">
        <v>41</v>
      </c>
    </row>
    <row r="27" spans="1:65" s="11" customFormat="1" ht="20.100000000000001" customHeight="1" x14ac:dyDescent="0.3">
      <c r="A27" s="664"/>
      <c r="B27" s="664"/>
      <c r="E27" s="581" t="str">
        <f>'Rent Limits'!A5</f>
        <v>Studio</v>
      </c>
      <c r="G27" s="4" t="s">
        <v>38</v>
      </c>
    </row>
    <row r="28" spans="1:65" s="11" customFormat="1" ht="20.100000000000001" customHeight="1" x14ac:dyDescent="0.3">
      <c r="A28" s="664"/>
      <c r="B28" s="664"/>
      <c r="E28" s="4" t="str">
        <f>'Rent Limits'!A6</f>
        <v>1BR</v>
      </c>
      <c r="G28" s="4" t="s">
        <v>39</v>
      </c>
    </row>
    <row r="29" spans="1:65" s="11" customFormat="1" ht="20.100000000000001" customHeight="1" x14ac:dyDescent="0.3">
      <c r="A29" s="664"/>
      <c r="B29" s="664"/>
      <c r="E29" s="4" t="str">
        <f>'Rent Limits'!A7</f>
        <v>2BR</v>
      </c>
      <c r="G29" s="4" t="s">
        <v>16</v>
      </c>
      <c r="BD29" s="616"/>
      <c r="BE29" s="616"/>
      <c r="BF29" s="616"/>
      <c r="BG29" s="616"/>
      <c r="BH29" s="616"/>
      <c r="BI29" s="616"/>
      <c r="BJ29" s="616"/>
      <c r="BK29" s="616"/>
      <c r="BL29" s="616"/>
      <c r="BM29" s="617"/>
    </row>
    <row r="30" spans="1:65" s="11" customFormat="1" ht="20.100000000000001" customHeight="1" x14ac:dyDescent="0.3">
      <c r="A30" s="664"/>
      <c r="B30" s="664"/>
      <c r="E30" s="5" t="str">
        <f>'Rent Limits'!A8</f>
        <v>3BR</v>
      </c>
      <c r="G30" s="4" t="s">
        <v>17</v>
      </c>
    </row>
    <row r="31" spans="1:65" s="11" customFormat="1" ht="20.100000000000001" customHeight="1" x14ac:dyDescent="0.3">
      <c r="A31" s="664"/>
      <c r="B31" s="664"/>
      <c r="G31" s="4" t="s">
        <v>40</v>
      </c>
    </row>
    <row r="32" spans="1:65" s="11" customFormat="1" ht="20.100000000000001" customHeight="1" x14ac:dyDescent="0.3">
      <c r="A32" s="664"/>
      <c r="B32" s="664"/>
      <c r="G32" s="5" t="s">
        <v>42</v>
      </c>
    </row>
    <row r="33" spans="1:2" s="11" customFormat="1" ht="20.100000000000001" customHeight="1" x14ac:dyDescent="0.3">
      <c r="A33" s="664"/>
      <c r="B33" s="664"/>
    </row>
  </sheetData>
  <mergeCells count="56">
    <mergeCell ref="BC4:BM4"/>
    <mergeCell ref="K1:W1"/>
    <mergeCell ref="K3:W3"/>
    <mergeCell ref="F20:I20"/>
    <mergeCell ref="F19:I19"/>
    <mergeCell ref="I4:I5"/>
    <mergeCell ref="K4:K5"/>
    <mergeCell ref="L4:L5"/>
    <mergeCell ref="K17:M17"/>
    <mergeCell ref="A3:I3"/>
    <mergeCell ref="A4:A5"/>
    <mergeCell ref="B4:B5"/>
    <mergeCell ref="C4:C5"/>
    <mergeCell ref="F4:F5"/>
    <mergeCell ref="E4:E5"/>
    <mergeCell ref="G4:G5"/>
    <mergeCell ref="H4:H5"/>
    <mergeCell ref="D4:D5"/>
    <mergeCell ref="BA4:BA5"/>
    <mergeCell ref="A25:B33"/>
    <mergeCell ref="A16:B16"/>
    <mergeCell ref="A21:I21"/>
    <mergeCell ref="A19:B19"/>
    <mergeCell ref="A20:B20"/>
    <mergeCell ref="A17:B17"/>
    <mergeCell ref="A18:B18"/>
    <mergeCell ref="K20:L20"/>
    <mergeCell ref="F16:I16"/>
    <mergeCell ref="F17:I17"/>
    <mergeCell ref="F18:I18"/>
    <mergeCell ref="M4:W4"/>
    <mergeCell ref="BB4:BB5"/>
    <mergeCell ref="Y3:AK3"/>
    <mergeCell ref="AM3:AY3"/>
    <mergeCell ref="BA3:BM3"/>
    <mergeCell ref="K21:W21"/>
    <mergeCell ref="AA4:AK4"/>
    <mergeCell ref="Y21:AK21"/>
    <mergeCell ref="AM21:AY21"/>
    <mergeCell ref="BA21:BM21"/>
    <mergeCell ref="AO4:AY4"/>
    <mergeCell ref="Y17:AA17"/>
    <mergeCell ref="AM17:AO17"/>
    <mergeCell ref="Y4:Y5"/>
    <mergeCell ref="Z4:Z5"/>
    <mergeCell ref="AM4:AM5"/>
    <mergeCell ref="AN4:AN5"/>
    <mergeCell ref="Y1:AK1"/>
    <mergeCell ref="AM1:AY1"/>
    <mergeCell ref="BA1:BM1"/>
    <mergeCell ref="A2:I2"/>
    <mergeCell ref="K2:W2"/>
    <mergeCell ref="Y2:AK2"/>
    <mergeCell ref="AM2:AY2"/>
    <mergeCell ref="BA2:BM2"/>
    <mergeCell ref="A1:I1"/>
  </mergeCells>
  <conditionalFormatting sqref="O6:W15">
    <cfRule type="expression" dxfId="0" priority="1">
      <formula>O6&gt;BE6</formula>
    </cfRule>
  </conditionalFormatting>
  <dataValidations count="2">
    <dataValidation type="list" allowBlank="1" showInputMessage="1" showErrorMessage="1" error="Enter Unit Type" sqref="A6:A15" xr:uid="{376EE391-095A-4569-9D01-E3D2A60C3411}">
      <formula1>$E$27:$E$30</formula1>
    </dataValidation>
    <dataValidation type="list" allowBlank="1" showInputMessage="1" showErrorMessage="1" error="Enter Affordability" sqref="I6:I15" xr:uid="{E8F4329A-6DE3-4875-8A57-0E9CE4A28822}">
      <formula1>$G$27:$G$32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7746B9-80AA-4AC2-83DC-359CA1F0C944}">
  <dimension ref="A1:M19"/>
  <sheetViews>
    <sheetView workbookViewId="0">
      <selection sqref="A1:M1"/>
    </sheetView>
  </sheetViews>
  <sheetFormatPr defaultColWidth="8.77734375" defaultRowHeight="20.100000000000001" customHeight="1" x14ac:dyDescent="0.3"/>
  <cols>
    <col min="1" max="13" width="10.5546875" style="1" customWidth="1"/>
    <col min="14" max="16384" width="8.77734375" style="1"/>
  </cols>
  <sheetData>
    <row r="1" spans="1:13" ht="46.2" x14ac:dyDescent="0.85">
      <c r="A1" s="689" t="s">
        <v>243</v>
      </c>
      <c r="B1" s="690"/>
      <c r="C1" s="690"/>
      <c r="D1" s="690"/>
      <c r="E1" s="690"/>
      <c r="F1" s="690"/>
      <c r="G1" s="690"/>
      <c r="H1" s="690"/>
      <c r="I1" s="690"/>
      <c r="J1" s="690"/>
      <c r="K1" s="690"/>
      <c r="L1" s="690"/>
      <c r="M1" s="691"/>
    </row>
    <row r="2" spans="1:13" ht="23.4" x14ac:dyDescent="0.45">
      <c r="A2" s="692" t="s">
        <v>242</v>
      </c>
      <c r="B2" s="693"/>
      <c r="C2" s="693"/>
      <c r="D2" s="693"/>
      <c r="E2" s="693"/>
      <c r="F2" s="693"/>
      <c r="G2" s="693"/>
      <c r="H2" s="693"/>
      <c r="I2" s="693"/>
      <c r="J2" s="693"/>
      <c r="K2" s="693"/>
      <c r="L2" s="693"/>
      <c r="M2" s="694"/>
    </row>
    <row r="3" spans="1:13" ht="31.2" x14ac:dyDescent="0.6">
      <c r="A3" s="700" t="str">
        <f>IF('Property Model'!$C$2="","Enter Property Name on Property Model Tab",'Property Model'!$C$2)</f>
        <v>Enter Property Name on Property Model Tab</v>
      </c>
      <c r="B3" s="701"/>
      <c r="C3" s="701"/>
      <c r="D3" s="701"/>
      <c r="E3" s="701"/>
      <c r="F3" s="701"/>
      <c r="G3" s="701"/>
      <c r="H3" s="701"/>
      <c r="I3" s="701"/>
      <c r="J3" s="701"/>
      <c r="K3" s="701"/>
      <c r="L3" s="701"/>
      <c r="M3" s="702"/>
    </row>
    <row r="4" spans="1:13" ht="20.100000000000001" customHeight="1" x14ac:dyDescent="0.35">
      <c r="A4" s="753" t="s">
        <v>179</v>
      </c>
      <c r="B4" s="753" t="s">
        <v>231</v>
      </c>
      <c r="C4" s="760" t="s">
        <v>228</v>
      </c>
      <c r="D4" s="761"/>
      <c r="E4" s="760" t="s">
        <v>224</v>
      </c>
      <c r="F4" s="761"/>
      <c r="G4" s="760" t="s">
        <v>227</v>
      </c>
      <c r="H4" s="761"/>
      <c r="I4" s="751" t="s">
        <v>229</v>
      </c>
      <c r="J4" s="753" t="s">
        <v>230</v>
      </c>
      <c r="K4" s="753" t="s">
        <v>175</v>
      </c>
      <c r="L4" s="751" t="s">
        <v>233</v>
      </c>
      <c r="M4" s="753" t="s">
        <v>5</v>
      </c>
    </row>
    <row r="5" spans="1:13" ht="20.100000000000001" customHeight="1" x14ac:dyDescent="0.35">
      <c r="A5" s="759"/>
      <c r="B5" s="759"/>
      <c r="C5" s="506" t="s">
        <v>225</v>
      </c>
      <c r="D5" s="530" t="s">
        <v>226</v>
      </c>
      <c r="E5" s="506" t="s">
        <v>225</v>
      </c>
      <c r="F5" s="530" t="s">
        <v>226</v>
      </c>
      <c r="G5" s="506" t="s">
        <v>225</v>
      </c>
      <c r="H5" s="530" t="s">
        <v>226</v>
      </c>
      <c r="I5" s="752"/>
      <c r="J5" s="759"/>
      <c r="K5" s="759"/>
      <c r="L5" s="752"/>
      <c r="M5" s="754"/>
    </row>
    <row r="6" spans="1:13" ht="20.100000000000001" customHeight="1" x14ac:dyDescent="0.35">
      <c r="A6" s="578" t="str">
        <f>'Unit Mix'!K6</f>
        <v/>
      </c>
      <c r="B6" s="533"/>
      <c r="C6" s="531"/>
      <c r="D6" s="513"/>
      <c r="E6" s="531"/>
      <c r="F6" s="513"/>
      <c r="G6" s="531"/>
      <c r="H6" s="513"/>
      <c r="I6" s="536"/>
      <c r="J6" s="533"/>
      <c r="K6" s="533"/>
      <c r="L6" s="536"/>
      <c r="M6" s="527">
        <f>SUM(B6:L6)</f>
        <v>0</v>
      </c>
    </row>
    <row r="7" spans="1:13" ht="20.100000000000001" customHeight="1" x14ac:dyDescent="0.35">
      <c r="A7" s="579" t="str">
        <f>'Unit Mix'!K7</f>
        <v/>
      </c>
      <c r="B7" s="534"/>
      <c r="C7" s="532"/>
      <c r="D7" s="517"/>
      <c r="E7" s="532"/>
      <c r="F7" s="517"/>
      <c r="G7" s="532"/>
      <c r="H7" s="517"/>
      <c r="I7" s="537"/>
      <c r="J7" s="534"/>
      <c r="K7" s="534"/>
      <c r="L7" s="537"/>
      <c r="M7" s="528">
        <f t="shared" ref="M7:M15" si="0">SUM(B7:L7)</f>
        <v>0</v>
      </c>
    </row>
    <row r="8" spans="1:13" ht="20.100000000000001" customHeight="1" x14ac:dyDescent="0.35">
      <c r="A8" s="579" t="str">
        <f>'Unit Mix'!K8</f>
        <v/>
      </c>
      <c r="B8" s="534"/>
      <c r="C8" s="532"/>
      <c r="D8" s="517"/>
      <c r="E8" s="532"/>
      <c r="F8" s="517"/>
      <c r="G8" s="532"/>
      <c r="H8" s="517"/>
      <c r="I8" s="537"/>
      <c r="J8" s="534"/>
      <c r="K8" s="534"/>
      <c r="L8" s="537"/>
      <c r="M8" s="528">
        <f t="shared" si="0"/>
        <v>0</v>
      </c>
    </row>
    <row r="9" spans="1:13" ht="20.100000000000001" customHeight="1" x14ac:dyDescent="0.35">
      <c r="A9" s="579" t="str">
        <f>'Unit Mix'!K9</f>
        <v/>
      </c>
      <c r="B9" s="534"/>
      <c r="C9" s="532"/>
      <c r="D9" s="517"/>
      <c r="E9" s="532"/>
      <c r="F9" s="517"/>
      <c r="G9" s="532"/>
      <c r="H9" s="517"/>
      <c r="I9" s="537"/>
      <c r="J9" s="534"/>
      <c r="K9" s="534"/>
      <c r="L9" s="537"/>
      <c r="M9" s="528">
        <f t="shared" si="0"/>
        <v>0</v>
      </c>
    </row>
    <row r="10" spans="1:13" ht="20.100000000000001" customHeight="1" x14ac:dyDescent="0.35">
      <c r="A10" s="579" t="str">
        <f>'Unit Mix'!K10</f>
        <v/>
      </c>
      <c r="B10" s="534"/>
      <c r="C10" s="532"/>
      <c r="D10" s="517"/>
      <c r="E10" s="532"/>
      <c r="F10" s="517"/>
      <c r="G10" s="532"/>
      <c r="H10" s="517"/>
      <c r="I10" s="537"/>
      <c r="J10" s="534"/>
      <c r="K10" s="534"/>
      <c r="L10" s="537"/>
      <c r="M10" s="528">
        <f t="shared" si="0"/>
        <v>0</v>
      </c>
    </row>
    <row r="11" spans="1:13" ht="20.100000000000001" customHeight="1" x14ac:dyDescent="0.35">
      <c r="A11" s="579" t="str">
        <f>'Unit Mix'!K11</f>
        <v/>
      </c>
      <c r="B11" s="534"/>
      <c r="C11" s="532"/>
      <c r="D11" s="517"/>
      <c r="E11" s="532"/>
      <c r="F11" s="517"/>
      <c r="G11" s="532"/>
      <c r="H11" s="517"/>
      <c r="I11" s="537"/>
      <c r="J11" s="534"/>
      <c r="K11" s="534"/>
      <c r="L11" s="537"/>
      <c r="M11" s="528">
        <f t="shared" si="0"/>
        <v>0</v>
      </c>
    </row>
    <row r="12" spans="1:13" ht="20.100000000000001" customHeight="1" x14ac:dyDescent="0.35">
      <c r="A12" s="579" t="str">
        <f>'Unit Mix'!K12</f>
        <v/>
      </c>
      <c r="B12" s="534"/>
      <c r="C12" s="532"/>
      <c r="D12" s="517"/>
      <c r="E12" s="532"/>
      <c r="F12" s="517"/>
      <c r="G12" s="532"/>
      <c r="H12" s="517"/>
      <c r="I12" s="537"/>
      <c r="J12" s="534"/>
      <c r="K12" s="534"/>
      <c r="L12" s="537"/>
      <c r="M12" s="528">
        <f t="shared" si="0"/>
        <v>0</v>
      </c>
    </row>
    <row r="13" spans="1:13" ht="20.100000000000001" customHeight="1" x14ac:dyDescent="0.35">
      <c r="A13" s="579" t="str">
        <f>'Unit Mix'!K13</f>
        <v/>
      </c>
      <c r="B13" s="534"/>
      <c r="C13" s="532"/>
      <c r="D13" s="517"/>
      <c r="E13" s="532"/>
      <c r="F13" s="517"/>
      <c r="G13" s="532"/>
      <c r="H13" s="517"/>
      <c r="I13" s="537"/>
      <c r="J13" s="534"/>
      <c r="K13" s="534"/>
      <c r="L13" s="537"/>
      <c r="M13" s="528">
        <f t="shared" si="0"/>
        <v>0</v>
      </c>
    </row>
    <row r="14" spans="1:13" ht="20.100000000000001" customHeight="1" x14ac:dyDescent="0.35">
      <c r="A14" s="579" t="str">
        <f>'Unit Mix'!K14</f>
        <v/>
      </c>
      <c r="B14" s="534"/>
      <c r="C14" s="532"/>
      <c r="D14" s="517"/>
      <c r="E14" s="532"/>
      <c r="F14" s="517"/>
      <c r="G14" s="532"/>
      <c r="H14" s="517"/>
      <c r="I14" s="537"/>
      <c r="J14" s="534"/>
      <c r="K14" s="534"/>
      <c r="L14" s="537"/>
      <c r="M14" s="528">
        <f t="shared" si="0"/>
        <v>0</v>
      </c>
    </row>
    <row r="15" spans="1:13" ht="20.100000000000001" customHeight="1" x14ac:dyDescent="0.35">
      <c r="A15" s="580" t="str">
        <f>'Unit Mix'!K15</f>
        <v/>
      </c>
      <c r="B15" s="535"/>
      <c r="C15" s="518"/>
      <c r="D15" s="520"/>
      <c r="E15" s="518"/>
      <c r="F15" s="520"/>
      <c r="G15" s="518"/>
      <c r="H15" s="520"/>
      <c r="I15" s="538"/>
      <c r="J15" s="535"/>
      <c r="K15" s="535"/>
      <c r="L15" s="538"/>
      <c r="M15" s="529">
        <f t="shared" si="0"/>
        <v>0</v>
      </c>
    </row>
    <row r="16" spans="1:13" ht="20.100000000000001" customHeight="1" x14ac:dyDescent="0.3">
      <c r="A16" s="214"/>
      <c r="B16" s="212"/>
      <c r="C16" s="212"/>
      <c r="D16" s="212"/>
      <c r="E16" s="212"/>
      <c r="F16" s="212"/>
      <c r="G16" s="212"/>
      <c r="H16" s="212"/>
      <c r="I16" s="212"/>
      <c r="J16" s="212"/>
      <c r="K16" s="212"/>
      <c r="L16" s="212"/>
      <c r="M16" s="539"/>
    </row>
    <row r="17" spans="1:13" ht="20.100000000000001" customHeight="1" x14ac:dyDescent="0.35">
      <c r="A17" s="540"/>
      <c r="B17" s="541"/>
      <c r="C17" s="726" t="s">
        <v>232</v>
      </c>
      <c r="D17" s="727"/>
      <c r="E17" s="755"/>
      <c r="F17" s="756"/>
      <c r="G17" s="541"/>
      <c r="H17" s="726" t="s">
        <v>240</v>
      </c>
      <c r="I17" s="727"/>
      <c r="J17" s="757"/>
      <c r="K17" s="758"/>
      <c r="L17" s="541"/>
      <c r="M17" s="542"/>
    </row>
    <row r="18" spans="1:13" ht="20.100000000000001" customHeight="1" x14ac:dyDescent="0.3">
      <c r="A18" s="540"/>
      <c r="B18" s="541"/>
      <c r="C18" s="541"/>
      <c r="D18" s="541"/>
      <c r="E18" s="541"/>
      <c r="F18" s="541"/>
      <c r="G18" s="541"/>
      <c r="H18" s="541"/>
      <c r="I18" s="541"/>
      <c r="J18" s="541"/>
      <c r="K18" s="541"/>
      <c r="L18" s="541"/>
      <c r="M18" s="542"/>
    </row>
    <row r="19" spans="1:13" ht="20.100000000000001" customHeight="1" x14ac:dyDescent="0.3">
      <c r="A19" s="703"/>
      <c r="B19" s="704"/>
      <c r="C19" s="704"/>
      <c r="D19" s="704"/>
      <c r="E19" s="704"/>
      <c r="F19" s="704"/>
      <c r="G19" s="704"/>
      <c r="H19" s="704"/>
      <c r="I19" s="704"/>
      <c r="J19" s="704"/>
      <c r="K19" s="704"/>
      <c r="L19" s="704"/>
      <c r="M19" s="705"/>
    </row>
  </sheetData>
  <mergeCells count="18">
    <mergeCell ref="A1:M1"/>
    <mergeCell ref="A3:M3"/>
    <mergeCell ref="A4:A5"/>
    <mergeCell ref="B4:B5"/>
    <mergeCell ref="C4:D4"/>
    <mergeCell ref="E4:F4"/>
    <mergeCell ref="G4:H4"/>
    <mergeCell ref="I4:I5"/>
    <mergeCell ref="J4:J5"/>
    <mergeCell ref="K4:K5"/>
    <mergeCell ref="A2:M2"/>
    <mergeCell ref="A19:M19"/>
    <mergeCell ref="L4:L5"/>
    <mergeCell ref="M4:M5"/>
    <mergeCell ref="C17:D17"/>
    <mergeCell ref="E17:F17"/>
    <mergeCell ref="H17:I17"/>
    <mergeCell ref="J17:K17"/>
  </mergeCells>
  <dataValidations count="1">
    <dataValidation type="date" operator="greaterThan" allowBlank="1" showInputMessage="1" showErrorMessage="1" error="Enter Effective Date" sqref="J17:K17" xr:uid="{76919757-7E31-49D5-9FDD-9A2982B77615}">
      <formula1>40179</formula1>
    </dataValidation>
  </dataValidation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A0BA17-EF88-4D9D-B92C-784B05B99FA2}">
  <dimension ref="A1:J12"/>
  <sheetViews>
    <sheetView workbookViewId="0">
      <selection sqref="A1:F1"/>
    </sheetView>
  </sheetViews>
  <sheetFormatPr defaultColWidth="8.77734375" defaultRowHeight="20.100000000000001" customHeight="1" x14ac:dyDescent="0.3"/>
  <cols>
    <col min="1" max="6" width="15.5546875" style="1" customWidth="1"/>
    <col min="7" max="16384" width="8.77734375" style="1"/>
  </cols>
  <sheetData>
    <row r="1" spans="1:10" ht="46.2" x14ac:dyDescent="0.85">
      <c r="A1" s="689" t="s">
        <v>241</v>
      </c>
      <c r="B1" s="690"/>
      <c r="C1" s="690"/>
      <c r="D1" s="690"/>
      <c r="E1" s="690"/>
      <c r="F1" s="691"/>
    </row>
    <row r="2" spans="1:10" ht="23.4" x14ac:dyDescent="0.45">
      <c r="A2" s="692" t="s">
        <v>242</v>
      </c>
      <c r="B2" s="693"/>
      <c r="C2" s="693"/>
      <c r="D2" s="693"/>
      <c r="E2" s="693"/>
      <c r="F2" s="694"/>
    </row>
    <row r="3" spans="1:10" ht="31.2" x14ac:dyDescent="0.6">
      <c r="A3" s="700" t="s">
        <v>238</v>
      </c>
      <c r="B3" s="701"/>
      <c r="C3" s="701"/>
      <c r="D3" s="701"/>
      <c r="E3" s="701"/>
      <c r="F3" s="702"/>
    </row>
    <row r="4" spans="1:10" ht="20.100000000000001" customHeight="1" x14ac:dyDescent="0.35">
      <c r="A4" s="7" t="s">
        <v>15</v>
      </c>
      <c r="B4" s="8" t="s">
        <v>38</v>
      </c>
      <c r="C4" s="9" t="s">
        <v>39</v>
      </c>
      <c r="D4" s="9" t="s">
        <v>16</v>
      </c>
      <c r="E4" s="9" t="s">
        <v>17</v>
      </c>
      <c r="F4" s="10" t="s">
        <v>40</v>
      </c>
    </row>
    <row r="5" spans="1:10" ht="20.100000000000001" customHeight="1" x14ac:dyDescent="0.35">
      <c r="A5" s="610" t="s">
        <v>9</v>
      </c>
      <c r="B5" s="510">
        <v>652</v>
      </c>
      <c r="C5" s="511">
        <v>870</v>
      </c>
      <c r="D5" s="512">
        <v>1087</v>
      </c>
      <c r="E5" s="512">
        <v>1305</v>
      </c>
      <c r="F5" s="513">
        <v>1740</v>
      </c>
    </row>
    <row r="6" spans="1:10" ht="20.100000000000001" customHeight="1" x14ac:dyDescent="0.35">
      <c r="A6" s="611" t="s">
        <v>10</v>
      </c>
      <c r="B6" s="514">
        <v>699</v>
      </c>
      <c r="C6" s="515">
        <v>932</v>
      </c>
      <c r="D6" s="516">
        <v>1165</v>
      </c>
      <c r="E6" s="516">
        <v>1398</v>
      </c>
      <c r="F6" s="517">
        <v>1864</v>
      </c>
      <c r="J6" s="2"/>
    </row>
    <row r="7" spans="1:10" ht="20.100000000000001" customHeight="1" x14ac:dyDescent="0.35">
      <c r="A7" s="611" t="s">
        <v>11</v>
      </c>
      <c r="B7" s="514">
        <v>838</v>
      </c>
      <c r="C7" s="515">
        <v>1118</v>
      </c>
      <c r="D7" s="516">
        <v>1397</v>
      </c>
      <c r="E7" s="516">
        <v>1677</v>
      </c>
      <c r="F7" s="517">
        <v>2236</v>
      </c>
    </row>
    <row r="8" spans="1:10" ht="20.100000000000001" customHeight="1" x14ac:dyDescent="0.35">
      <c r="A8" s="612" t="s">
        <v>12</v>
      </c>
      <c r="B8" s="518">
        <v>969</v>
      </c>
      <c r="C8" s="519">
        <v>1292</v>
      </c>
      <c r="D8" s="519">
        <v>1615</v>
      </c>
      <c r="E8" s="519">
        <v>1938</v>
      </c>
      <c r="F8" s="520">
        <v>2584</v>
      </c>
      <c r="I8" s="3"/>
    </row>
    <row r="9" spans="1:10" ht="20.100000000000001" customHeight="1" x14ac:dyDescent="0.35">
      <c r="A9" s="603"/>
      <c r="B9" s="604"/>
      <c r="C9" s="604"/>
      <c r="D9" s="604"/>
      <c r="E9" s="604"/>
      <c r="F9" s="605"/>
      <c r="I9" s="3"/>
    </row>
    <row r="10" spans="1:10" ht="20.100000000000001" customHeight="1" x14ac:dyDescent="0.35">
      <c r="A10" s="245"/>
      <c r="B10" s="613" t="s">
        <v>232</v>
      </c>
      <c r="C10" s="615" t="s">
        <v>239</v>
      </c>
      <c r="D10" s="613" t="s">
        <v>240</v>
      </c>
      <c r="E10" s="614">
        <v>45383</v>
      </c>
      <c r="F10" s="606"/>
      <c r="I10" s="3"/>
    </row>
    <row r="11" spans="1:10" ht="20.100000000000001" customHeight="1" x14ac:dyDescent="0.35">
      <c r="A11" s="607"/>
      <c r="B11" s="608"/>
      <c r="C11" s="608"/>
      <c r="D11" s="608"/>
      <c r="E11" s="608"/>
      <c r="F11" s="609"/>
      <c r="I11" s="3"/>
    </row>
    <row r="12" spans="1:10" ht="20.100000000000001" customHeight="1" x14ac:dyDescent="0.3">
      <c r="A12" s="703"/>
      <c r="B12" s="704"/>
      <c r="C12" s="704"/>
      <c r="D12" s="704"/>
      <c r="E12" s="704"/>
      <c r="F12" s="705"/>
    </row>
  </sheetData>
  <mergeCells count="4">
    <mergeCell ref="A3:F3"/>
    <mergeCell ref="A1:F1"/>
    <mergeCell ref="A12:F12"/>
    <mergeCell ref="A2:F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D879C9-59B2-45C1-B483-4A03678DBA3F}">
  <dimension ref="A1:T168"/>
  <sheetViews>
    <sheetView workbookViewId="0"/>
  </sheetViews>
  <sheetFormatPr defaultColWidth="9.21875" defaultRowHeight="15.6" x14ac:dyDescent="0.3"/>
  <cols>
    <col min="1" max="1" width="10.5546875" style="13" customWidth="1"/>
    <col min="2" max="10" width="15.5546875" style="2" customWidth="1"/>
    <col min="11" max="11" width="10.5546875" style="13" customWidth="1"/>
    <col min="12" max="14" width="10.44140625" style="2" customWidth="1"/>
    <col min="15" max="16384" width="9.21875" style="2"/>
  </cols>
  <sheetData>
    <row r="1" spans="1:11" x14ac:dyDescent="0.3">
      <c r="A1" s="74" t="s">
        <v>18</v>
      </c>
    </row>
    <row r="2" spans="1:11" x14ac:dyDescent="0.3">
      <c r="A2" s="74" t="s">
        <v>19</v>
      </c>
      <c r="B2" s="75"/>
      <c r="C2" s="76"/>
      <c r="D2" s="75"/>
      <c r="E2" s="75"/>
      <c r="F2" s="75"/>
      <c r="G2" s="75"/>
      <c r="H2" s="75"/>
      <c r="I2" s="75"/>
      <c r="J2" s="75"/>
      <c r="K2" s="77"/>
    </row>
    <row r="3" spans="1:11" x14ac:dyDescent="0.3">
      <c r="A3" s="75"/>
      <c r="B3" s="75"/>
      <c r="C3" s="75"/>
      <c r="D3" s="75"/>
      <c r="E3" s="75"/>
      <c r="F3" s="75"/>
      <c r="G3" s="75"/>
      <c r="H3" s="75"/>
      <c r="I3" s="75"/>
      <c r="J3" s="75"/>
      <c r="K3" s="77"/>
    </row>
    <row r="4" spans="1:11" x14ac:dyDescent="0.3">
      <c r="A4" s="2" t="s">
        <v>20</v>
      </c>
      <c r="D4" s="81">
        <f>'Property Model'!L8</f>
        <v>0</v>
      </c>
      <c r="E4" s="75"/>
      <c r="F4" s="75"/>
      <c r="G4" s="75"/>
      <c r="H4" s="75"/>
      <c r="I4" s="75"/>
      <c r="J4" s="75"/>
      <c r="K4" s="77"/>
    </row>
    <row r="5" spans="1:11" x14ac:dyDescent="0.3">
      <c r="A5" s="2" t="s">
        <v>21</v>
      </c>
      <c r="D5" s="78">
        <f>'Property Model'!D27</f>
        <v>10</v>
      </c>
      <c r="E5" s="75"/>
      <c r="F5" s="75"/>
      <c r="G5" s="75"/>
      <c r="H5" s="75"/>
      <c r="I5" s="75"/>
      <c r="J5" s="75"/>
      <c r="K5" s="77"/>
    </row>
    <row r="6" spans="1:11" x14ac:dyDescent="0.3">
      <c r="A6" s="2" t="s">
        <v>22</v>
      </c>
      <c r="D6" s="79">
        <f>'Property Model'!D29*12</f>
        <v>0</v>
      </c>
      <c r="E6" s="75"/>
      <c r="F6" s="75"/>
      <c r="G6" s="75"/>
      <c r="H6" s="75"/>
      <c r="I6" s="75"/>
      <c r="J6" s="75"/>
      <c r="K6" s="77"/>
    </row>
    <row r="7" spans="1:11" x14ac:dyDescent="0.3">
      <c r="A7" s="2" t="s">
        <v>23</v>
      </c>
      <c r="D7" s="80">
        <f>'Property Model'!D26</f>
        <v>0</v>
      </c>
      <c r="E7" s="75"/>
      <c r="F7" s="75"/>
      <c r="G7" s="75"/>
      <c r="H7" s="75"/>
      <c r="I7" s="75"/>
      <c r="J7" s="75"/>
      <c r="K7" s="77"/>
    </row>
    <row r="8" spans="1:11" x14ac:dyDescent="0.3">
      <c r="A8" s="2" t="s">
        <v>24</v>
      </c>
      <c r="D8" s="80">
        <f>IF(D4=0,0,D12/D4)</f>
        <v>0</v>
      </c>
      <c r="E8" s="75"/>
      <c r="F8" s="75"/>
      <c r="G8" s="75"/>
      <c r="H8" s="75"/>
      <c r="I8" s="75"/>
      <c r="J8" s="75"/>
      <c r="K8" s="77"/>
    </row>
    <row r="9" spans="1:11" x14ac:dyDescent="0.3">
      <c r="A9" s="2" t="s">
        <v>25</v>
      </c>
      <c r="D9" s="81">
        <f>E17</f>
        <v>0</v>
      </c>
      <c r="E9" s="75"/>
      <c r="F9" s="75"/>
      <c r="G9" s="75"/>
      <c r="H9" s="75"/>
      <c r="I9" s="75"/>
      <c r="J9" s="75"/>
      <c r="K9" s="77"/>
    </row>
    <row r="10" spans="1:11" x14ac:dyDescent="0.3">
      <c r="A10" s="2" t="s">
        <v>26</v>
      </c>
      <c r="D10" s="81">
        <f>12*D9</f>
        <v>0</v>
      </c>
      <c r="E10" s="82">
        <f>IF('Property Model'!$E$11=0,0,D10/'Property Model'!$E$11)</f>
        <v>0</v>
      </c>
      <c r="F10" s="75" t="s">
        <v>6</v>
      </c>
      <c r="G10" s="75"/>
      <c r="H10" s="75"/>
      <c r="I10" s="75"/>
      <c r="J10" s="75"/>
      <c r="K10" s="77"/>
    </row>
    <row r="11" spans="1:11" x14ac:dyDescent="0.3">
      <c r="A11" s="2" t="s">
        <v>27</v>
      </c>
      <c r="D11" s="81">
        <f>IF(OR(D4=0,D6=0,D7=0),0,-PMT(D7/12,D6,D4))</f>
        <v>0</v>
      </c>
      <c r="E11" s="75"/>
      <c r="F11" s="75"/>
      <c r="G11" s="75"/>
      <c r="H11" s="75"/>
      <c r="I11" s="75"/>
      <c r="J11" s="75"/>
      <c r="K11" s="77"/>
    </row>
    <row r="12" spans="1:11" x14ac:dyDescent="0.3">
      <c r="A12" s="2" t="s">
        <v>28</v>
      </c>
      <c r="D12" s="81">
        <f>D11*12</f>
        <v>0</v>
      </c>
      <c r="E12" s="82">
        <f>IF('Property Model'!$E$11=0,0,D12/'Property Model'!$E$11)</f>
        <v>0</v>
      </c>
      <c r="F12" s="75" t="s">
        <v>6</v>
      </c>
      <c r="G12" s="75"/>
      <c r="H12" s="75"/>
      <c r="I12" s="75"/>
      <c r="J12" s="75"/>
      <c r="K12" s="77"/>
    </row>
    <row r="13" spans="1:11" x14ac:dyDescent="0.3">
      <c r="A13" s="2" t="s">
        <v>29</v>
      </c>
      <c r="D13" s="78">
        <f>'Property Model'!D28*12</f>
        <v>0</v>
      </c>
      <c r="E13" s="75"/>
      <c r="F13" s="75"/>
      <c r="G13" s="75"/>
      <c r="H13" s="75"/>
      <c r="I13" s="75"/>
      <c r="J13" s="75"/>
      <c r="K13" s="77"/>
    </row>
    <row r="14" spans="1:11" x14ac:dyDescent="0.3">
      <c r="A14" s="77"/>
      <c r="B14" s="75"/>
      <c r="C14" s="75"/>
      <c r="D14" s="75"/>
      <c r="E14" s="75"/>
      <c r="F14" s="75"/>
      <c r="G14" s="75"/>
      <c r="H14" s="75"/>
      <c r="I14" s="75"/>
      <c r="J14" s="75"/>
      <c r="K14" s="77"/>
    </row>
    <row r="15" spans="1:11" x14ac:dyDescent="0.3">
      <c r="A15" s="77" t="s">
        <v>30</v>
      </c>
      <c r="B15" s="77" t="s">
        <v>35</v>
      </c>
      <c r="C15" s="77" t="s">
        <v>49</v>
      </c>
      <c r="D15" s="77" t="s">
        <v>49</v>
      </c>
      <c r="E15" s="77" t="s">
        <v>49</v>
      </c>
      <c r="F15" s="77" t="s">
        <v>49</v>
      </c>
      <c r="G15" s="77" t="s">
        <v>31</v>
      </c>
      <c r="H15" s="77"/>
      <c r="I15" s="77" t="s">
        <v>32</v>
      </c>
      <c r="J15" s="77" t="s">
        <v>32</v>
      </c>
      <c r="K15" s="77"/>
    </row>
    <row r="16" spans="1:11" ht="17.399999999999999" x14ac:dyDescent="0.45">
      <c r="A16" s="83" t="s">
        <v>33</v>
      </c>
      <c r="B16" s="83" t="s">
        <v>34</v>
      </c>
      <c r="C16" s="83" t="s">
        <v>50</v>
      </c>
      <c r="D16" s="83" t="s">
        <v>35</v>
      </c>
      <c r="E16" s="83" t="s">
        <v>36</v>
      </c>
      <c r="F16" s="83" t="s">
        <v>37</v>
      </c>
      <c r="G16" s="83" t="s">
        <v>35</v>
      </c>
      <c r="H16" s="83"/>
      <c r="I16" s="84" t="s">
        <v>36</v>
      </c>
      <c r="J16" s="84" t="s">
        <v>37</v>
      </c>
      <c r="K16" s="77"/>
    </row>
    <row r="17" spans="1:20" x14ac:dyDescent="0.3">
      <c r="A17" s="85">
        <v>1</v>
      </c>
      <c r="B17" s="86">
        <f>'Property Model'!E8</f>
        <v>0</v>
      </c>
      <c r="C17" s="87">
        <f>+D7/12</f>
        <v>0</v>
      </c>
      <c r="D17" s="88">
        <f>IF(OR($D$4=0,$D$6=0,$D$7=0),0,IF(A17&lt;=$D$13,E17,(-PMT($D$7/12,$D$6,$D$4))))</f>
        <v>0</v>
      </c>
      <c r="E17" s="88">
        <f>+D4*$D$7/12</f>
        <v>0</v>
      </c>
      <c r="F17" s="88">
        <f t="shared" ref="F17:F80" si="0">D17-E17</f>
        <v>0</v>
      </c>
      <c r="G17" s="88">
        <f>+D4-F17</f>
        <v>0</v>
      </c>
      <c r="H17" s="88"/>
      <c r="I17" s="88">
        <f>SUM(E4:E17)</f>
        <v>0</v>
      </c>
      <c r="J17" s="88">
        <f>SUM(F4:F17)</f>
        <v>0</v>
      </c>
      <c r="K17" s="89"/>
    </row>
    <row r="18" spans="1:20" x14ac:dyDescent="0.3">
      <c r="A18" s="85">
        <v>2</v>
      </c>
      <c r="B18" s="86">
        <f>EDATE(B17,1)</f>
        <v>31</v>
      </c>
      <c r="C18" s="87">
        <f t="shared" ref="C18:C76" si="1">+C17</f>
        <v>0</v>
      </c>
      <c r="D18" s="88">
        <f t="shared" ref="D18:D81" si="2">IF(OR($D$4=0,$D$6=0,$D$7=0),0,IF(A18&lt;=$D$13,E18,(-PMT($D$7/12,$D$6,$D$4))))</f>
        <v>0</v>
      </c>
      <c r="E18" s="88">
        <f t="shared" ref="E18:E49" si="3">+G17*$D$7/12</f>
        <v>0</v>
      </c>
      <c r="F18" s="88">
        <f t="shared" si="0"/>
        <v>0</v>
      </c>
      <c r="G18" s="88">
        <f t="shared" ref="G18:G52" si="4">+G17-F18</f>
        <v>0</v>
      </c>
      <c r="H18" s="88"/>
      <c r="I18" s="88">
        <f>SUM(E14:E18)</f>
        <v>0</v>
      </c>
      <c r="J18" s="88">
        <f>SUM(F14:F18)</f>
        <v>0</v>
      </c>
      <c r="K18" s="89"/>
    </row>
    <row r="19" spans="1:20" x14ac:dyDescent="0.3">
      <c r="A19" s="85">
        <v>3</v>
      </c>
      <c r="B19" s="86">
        <f t="shared" ref="B19:B82" si="5">EDATE(B18,1)</f>
        <v>59</v>
      </c>
      <c r="C19" s="87">
        <f t="shared" si="1"/>
        <v>0</v>
      </c>
      <c r="D19" s="88">
        <f t="shared" si="2"/>
        <v>0</v>
      </c>
      <c r="E19" s="88">
        <f t="shared" si="3"/>
        <v>0</v>
      </c>
      <c r="F19" s="88">
        <f t="shared" si="0"/>
        <v>0</v>
      </c>
      <c r="G19" s="88">
        <f t="shared" si="4"/>
        <v>0</v>
      </c>
      <c r="H19" s="88"/>
      <c r="I19" s="88">
        <f>SUM(E14:E19)</f>
        <v>0</v>
      </c>
      <c r="J19" s="88">
        <f>SUM(F14:F19)</f>
        <v>0</v>
      </c>
      <c r="K19" s="89"/>
      <c r="L19" s="90"/>
      <c r="M19" s="90"/>
      <c r="N19" s="90"/>
      <c r="O19" s="90"/>
      <c r="P19" s="90"/>
      <c r="Q19" s="90"/>
      <c r="R19" s="90"/>
      <c r="S19" s="90"/>
      <c r="T19" s="90"/>
    </row>
    <row r="20" spans="1:20" x14ac:dyDescent="0.3">
      <c r="A20" s="85">
        <v>4</v>
      </c>
      <c r="B20" s="86">
        <f t="shared" si="5"/>
        <v>88</v>
      </c>
      <c r="C20" s="87">
        <f t="shared" si="1"/>
        <v>0</v>
      </c>
      <c r="D20" s="88">
        <f t="shared" si="2"/>
        <v>0</v>
      </c>
      <c r="E20" s="88">
        <f t="shared" si="3"/>
        <v>0</v>
      </c>
      <c r="F20" s="88">
        <f t="shared" si="0"/>
        <v>0</v>
      </c>
      <c r="G20" s="88">
        <f t="shared" si="4"/>
        <v>0</v>
      </c>
      <c r="H20" s="88"/>
      <c r="I20" s="88">
        <f>SUM(E14:E20)</f>
        <v>0</v>
      </c>
      <c r="J20" s="88">
        <f>SUM(F14:F20)</f>
        <v>0</v>
      </c>
      <c r="K20" s="89"/>
      <c r="L20" s="91"/>
      <c r="M20" s="91"/>
      <c r="N20" s="91"/>
      <c r="O20" s="91"/>
      <c r="P20" s="91"/>
      <c r="Q20" s="91"/>
      <c r="R20" s="91"/>
      <c r="S20" s="91"/>
      <c r="T20" s="91"/>
    </row>
    <row r="21" spans="1:20" x14ac:dyDescent="0.3">
      <c r="A21" s="85">
        <v>5</v>
      </c>
      <c r="B21" s="86">
        <f t="shared" si="5"/>
        <v>119</v>
      </c>
      <c r="C21" s="87">
        <f t="shared" si="1"/>
        <v>0</v>
      </c>
      <c r="D21" s="88">
        <f t="shared" si="2"/>
        <v>0</v>
      </c>
      <c r="E21" s="88">
        <f t="shared" si="3"/>
        <v>0</v>
      </c>
      <c r="F21" s="88">
        <f t="shared" si="0"/>
        <v>0</v>
      </c>
      <c r="G21" s="88">
        <f t="shared" si="4"/>
        <v>0</v>
      </c>
      <c r="H21" s="88"/>
      <c r="I21" s="88">
        <f>SUM(E14:E21)</f>
        <v>0</v>
      </c>
      <c r="J21" s="88">
        <f>SUM(F14:F21)</f>
        <v>0</v>
      </c>
      <c r="K21" s="89"/>
    </row>
    <row r="22" spans="1:20" x14ac:dyDescent="0.3">
      <c r="A22" s="85">
        <v>6</v>
      </c>
      <c r="B22" s="86">
        <f t="shared" si="5"/>
        <v>149</v>
      </c>
      <c r="C22" s="87">
        <f t="shared" si="1"/>
        <v>0</v>
      </c>
      <c r="D22" s="88">
        <f t="shared" si="2"/>
        <v>0</v>
      </c>
      <c r="E22" s="88">
        <f t="shared" si="3"/>
        <v>0</v>
      </c>
      <c r="F22" s="88">
        <f t="shared" si="0"/>
        <v>0</v>
      </c>
      <c r="G22" s="88">
        <f t="shared" si="4"/>
        <v>0</v>
      </c>
      <c r="H22" s="88"/>
      <c r="I22" s="88">
        <f>SUM(E14:E22)</f>
        <v>0</v>
      </c>
      <c r="J22" s="88">
        <f>SUM(F14:F22)</f>
        <v>0</v>
      </c>
      <c r="K22" s="89"/>
    </row>
    <row r="23" spans="1:20" x14ac:dyDescent="0.3">
      <c r="A23" s="85">
        <v>7</v>
      </c>
      <c r="B23" s="86">
        <f t="shared" si="5"/>
        <v>180</v>
      </c>
      <c r="C23" s="87">
        <f t="shared" si="1"/>
        <v>0</v>
      </c>
      <c r="D23" s="88">
        <f t="shared" si="2"/>
        <v>0</v>
      </c>
      <c r="E23" s="88">
        <f t="shared" si="3"/>
        <v>0</v>
      </c>
      <c r="F23" s="88">
        <f t="shared" si="0"/>
        <v>0</v>
      </c>
      <c r="G23" s="88">
        <f t="shared" si="4"/>
        <v>0</v>
      </c>
      <c r="H23" s="88"/>
      <c r="I23" s="88">
        <f>SUM(E14:E23)</f>
        <v>0</v>
      </c>
      <c r="J23" s="88">
        <f>SUM(F14:F23)</f>
        <v>0</v>
      </c>
      <c r="K23" s="89"/>
    </row>
    <row r="24" spans="1:20" x14ac:dyDescent="0.3">
      <c r="A24" s="85">
        <v>8</v>
      </c>
      <c r="B24" s="86">
        <f t="shared" si="5"/>
        <v>210</v>
      </c>
      <c r="C24" s="87">
        <f t="shared" si="1"/>
        <v>0</v>
      </c>
      <c r="D24" s="88">
        <f t="shared" si="2"/>
        <v>0</v>
      </c>
      <c r="E24" s="88">
        <f t="shared" si="3"/>
        <v>0</v>
      </c>
      <c r="F24" s="88">
        <f t="shared" si="0"/>
        <v>0</v>
      </c>
      <c r="G24" s="88">
        <f t="shared" si="4"/>
        <v>0</v>
      </c>
      <c r="H24" s="88"/>
      <c r="I24" s="88">
        <f>SUM(E14:E24)</f>
        <v>0</v>
      </c>
      <c r="J24" s="88">
        <f>SUM(F14:F24)</f>
        <v>0</v>
      </c>
      <c r="K24" s="89"/>
    </row>
    <row r="25" spans="1:20" x14ac:dyDescent="0.3">
      <c r="A25" s="85">
        <v>9</v>
      </c>
      <c r="B25" s="86">
        <f t="shared" si="5"/>
        <v>241</v>
      </c>
      <c r="C25" s="87">
        <f t="shared" si="1"/>
        <v>0</v>
      </c>
      <c r="D25" s="88">
        <f t="shared" si="2"/>
        <v>0</v>
      </c>
      <c r="E25" s="88">
        <f t="shared" si="3"/>
        <v>0</v>
      </c>
      <c r="F25" s="88">
        <f t="shared" si="0"/>
        <v>0</v>
      </c>
      <c r="G25" s="88">
        <f t="shared" si="4"/>
        <v>0</v>
      </c>
      <c r="H25" s="88"/>
      <c r="I25" s="88">
        <f t="shared" ref="I25:J53" si="6">SUM(E14:E25)</f>
        <v>0</v>
      </c>
      <c r="J25" s="88">
        <f t="shared" ref="J25:J52" si="7">SUM(F14:F25)</f>
        <v>0</v>
      </c>
      <c r="K25" s="89"/>
    </row>
    <row r="26" spans="1:20" x14ac:dyDescent="0.3">
      <c r="A26" s="85">
        <v>10</v>
      </c>
      <c r="B26" s="86">
        <f t="shared" si="5"/>
        <v>272</v>
      </c>
      <c r="C26" s="87">
        <f t="shared" si="1"/>
        <v>0</v>
      </c>
      <c r="D26" s="88">
        <f t="shared" si="2"/>
        <v>0</v>
      </c>
      <c r="E26" s="88">
        <f t="shared" si="3"/>
        <v>0</v>
      </c>
      <c r="F26" s="88">
        <f t="shared" si="0"/>
        <v>0</v>
      </c>
      <c r="G26" s="88">
        <f t="shared" si="4"/>
        <v>0</v>
      </c>
      <c r="H26" s="88"/>
      <c r="I26" s="88">
        <f t="shared" si="6"/>
        <v>0</v>
      </c>
      <c r="J26" s="88">
        <f t="shared" si="7"/>
        <v>0</v>
      </c>
      <c r="K26" s="89"/>
    </row>
    <row r="27" spans="1:20" x14ac:dyDescent="0.3">
      <c r="A27" s="85">
        <v>11</v>
      </c>
      <c r="B27" s="86">
        <f t="shared" si="5"/>
        <v>302</v>
      </c>
      <c r="C27" s="87">
        <f t="shared" si="1"/>
        <v>0</v>
      </c>
      <c r="D27" s="88">
        <f t="shared" si="2"/>
        <v>0</v>
      </c>
      <c r="E27" s="88">
        <f t="shared" si="3"/>
        <v>0</v>
      </c>
      <c r="F27" s="88">
        <f t="shared" si="0"/>
        <v>0</v>
      </c>
      <c r="G27" s="88">
        <f t="shared" si="4"/>
        <v>0</v>
      </c>
      <c r="H27" s="88"/>
      <c r="I27" s="88">
        <f t="shared" si="6"/>
        <v>0</v>
      </c>
      <c r="J27" s="88">
        <f t="shared" si="7"/>
        <v>0</v>
      </c>
      <c r="K27" s="89"/>
    </row>
    <row r="28" spans="1:20" x14ac:dyDescent="0.3">
      <c r="A28" s="92">
        <v>12</v>
      </c>
      <c r="B28" s="93">
        <f t="shared" si="5"/>
        <v>333</v>
      </c>
      <c r="C28" s="94">
        <f t="shared" si="1"/>
        <v>0</v>
      </c>
      <c r="D28" s="95">
        <f t="shared" si="2"/>
        <v>0</v>
      </c>
      <c r="E28" s="95">
        <f t="shared" si="3"/>
        <v>0</v>
      </c>
      <c r="F28" s="95">
        <f t="shared" si="0"/>
        <v>0</v>
      </c>
      <c r="G28" s="95">
        <f t="shared" si="4"/>
        <v>0</v>
      </c>
      <c r="H28" s="95">
        <f>G28</f>
        <v>0</v>
      </c>
      <c r="I28" s="95">
        <f>SUM(E17:E28)</f>
        <v>0</v>
      </c>
      <c r="J28" s="95">
        <f>SUM(F17:F28)</f>
        <v>0</v>
      </c>
      <c r="K28" s="96">
        <v>1</v>
      </c>
    </row>
    <row r="29" spans="1:20" x14ac:dyDescent="0.3">
      <c r="A29" s="85">
        <v>13</v>
      </c>
      <c r="B29" s="86">
        <f t="shared" si="5"/>
        <v>363</v>
      </c>
      <c r="C29" s="87">
        <f t="shared" si="1"/>
        <v>0</v>
      </c>
      <c r="D29" s="88">
        <f t="shared" si="2"/>
        <v>0</v>
      </c>
      <c r="E29" s="88">
        <f t="shared" si="3"/>
        <v>0</v>
      </c>
      <c r="F29" s="88">
        <f t="shared" si="0"/>
        <v>0</v>
      </c>
      <c r="G29" s="88">
        <f t="shared" si="4"/>
        <v>0</v>
      </c>
      <c r="H29" s="88"/>
      <c r="I29" s="88">
        <f t="shared" si="6"/>
        <v>0</v>
      </c>
      <c r="J29" s="88">
        <f t="shared" si="7"/>
        <v>0</v>
      </c>
      <c r="K29" s="89"/>
    </row>
    <row r="30" spans="1:20" x14ac:dyDescent="0.3">
      <c r="A30" s="85">
        <v>14</v>
      </c>
      <c r="B30" s="86">
        <f t="shared" si="5"/>
        <v>394</v>
      </c>
      <c r="C30" s="87">
        <f t="shared" si="1"/>
        <v>0</v>
      </c>
      <c r="D30" s="88">
        <f t="shared" si="2"/>
        <v>0</v>
      </c>
      <c r="E30" s="88">
        <f t="shared" si="3"/>
        <v>0</v>
      </c>
      <c r="F30" s="88">
        <f t="shared" si="0"/>
        <v>0</v>
      </c>
      <c r="G30" s="88">
        <f t="shared" si="4"/>
        <v>0</v>
      </c>
      <c r="H30" s="88"/>
      <c r="I30" s="88">
        <f t="shared" si="6"/>
        <v>0</v>
      </c>
      <c r="J30" s="88">
        <f t="shared" si="7"/>
        <v>0</v>
      </c>
      <c r="K30" s="89"/>
    </row>
    <row r="31" spans="1:20" x14ac:dyDescent="0.3">
      <c r="A31" s="85">
        <v>15</v>
      </c>
      <c r="B31" s="86">
        <f t="shared" si="5"/>
        <v>425</v>
      </c>
      <c r="C31" s="87">
        <f t="shared" si="1"/>
        <v>0</v>
      </c>
      <c r="D31" s="88">
        <f t="shared" si="2"/>
        <v>0</v>
      </c>
      <c r="E31" s="88">
        <f t="shared" si="3"/>
        <v>0</v>
      </c>
      <c r="F31" s="88">
        <f t="shared" si="0"/>
        <v>0</v>
      </c>
      <c r="G31" s="88">
        <f t="shared" si="4"/>
        <v>0</v>
      </c>
      <c r="H31" s="88"/>
      <c r="I31" s="88">
        <f t="shared" si="6"/>
        <v>0</v>
      </c>
      <c r="J31" s="88">
        <f t="shared" si="7"/>
        <v>0</v>
      </c>
      <c r="K31" s="89"/>
    </row>
    <row r="32" spans="1:20" x14ac:dyDescent="0.3">
      <c r="A32" s="85">
        <v>16</v>
      </c>
      <c r="B32" s="86">
        <f t="shared" si="5"/>
        <v>453</v>
      </c>
      <c r="C32" s="87">
        <f t="shared" si="1"/>
        <v>0</v>
      </c>
      <c r="D32" s="88">
        <f t="shared" si="2"/>
        <v>0</v>
      </c>
      <c r="E32" s="88">
        <f t="shared" si="3"/>
        <v>0</v>
      </c>
      <c r="F32" s="88">
        <f t="shared" si="0"/>
        <v>0</v>
      </c>
      <c r="G32" s="88">
        <f t="shared" si="4"/>
        <v>0</v>
      </c>
      <c r="H32" s="88"/>
      <c r="I32" s="88">
        <f t="shared" si="6"/>
        <v>0</v>
      </c>
      <c r="J32" s="88">
        <f t="shared" si="7"/>
        <v>0</v>
      </c>
      <c r="K32" s="89"/>
    </row>
    <row r="33" spans="1:11" x14ac:dyDescent="0.3">
      <c r="A33" s="85">
        <v>17</v>
      </c>
      <c r="B33" s="86">
        <f t="shared" si="5"/>
        <v>484</v>
      </c>
      <c r="C33" s="87">
        <f t="shared" si="1"/>
        <v>0</v>
      </c>
      <c r="D33" s="88">
        <f t="shared" si="2"/>
        <v>0</v>
      </c>
      <c r="E33" s="88">
        <f t="shared" si="3"/>
        <v>0</v>
      </c>
      <c r="F33" s="88">
        <f t="shared" si="0"/>
        <v>0</v>
      </c>
      <c r="G33" s="88">
        <f t="shared" si="4"/>
        <v>0</v>
      </c>
      <c r="H33" s="88"/>
      <c r="I33" s="88">
        <f>SUM(E22:E33)</f>
        <v>0</v>
      </c>
      <c r="J33" s="88">
        <f t="shared" si="7"/>
        <v>0</v>
      </c>
      <c r="K33" s="89"/>
    </row>
    <row r="34" spans="1:11" x14ac:dyDescent="0.3">
      <c r="A34" s="85">
        <v>18</v>
      </c>
      <c r="B34" s="86">
        <f t="shared" si="5"/>
        <v>514</v>
      </c>
      <c r="C34" s="87">
        <f t="shared" si="1"/>
        <v>0</v>
      </c>
      <c r="D34" s="88">
        <f t="shared" si="2"/>
        <v>0</v>
      </c>
      <c r="E34" s="88">
        <f t="shared" si="3"/>
        <v>0</v>
      </c>
      <c r="F34" s="88">
        <f t="shared" si="0"/>
        <v>0</v>
      </c>
      <c r="G34" s="88">
        <f t="shared" si="4"/>
        <v>0</v>
      </c>
      <c r="H34" s="88"/>
      <c r="I34" s="88">
        <f t="shared" si="6"/>
        <v>0</v>
      </c>
      <c r="J34" s="88">
        <f t="shared" si="7"/>
        <v>0</v>
      </c>
      <c r="K34" s="89"/>
    </row>
    <row r="35" spans="1:11" x14ac:dyDescent="0.3">
      <c r="A35" s="85">
        <v>19</v>
      </c>
      <c r="B35" s="86">
        <f t="shared" si="5"/>
        <v>545</v>
      </c>
      <c r="C35" s="87">
        <f t="shared" si="1"/>
        <v>0</v>
      </c>
      <c r="D35" s="88">
        <f t="shared" si="2"/>
        <v>0</v>
      </c>
      <c r="E35" s="88">
        <f t="shared" si="3"/>
        <v>0</v>
      </c>
      <c r="F35" s="88">
        <f t="shared" si="0"/>
        <v>0</v>
      </c>
      <c r="G35" s="88">
        <f t="shared" si="4"/>
        <v>0</v>
      </c>
      <c r="H35" s="88"/>
      <c r="I35" s="88">
        <f t="shared" si="6"/>
        <v>0</v>
      </c>
      <c r="J35" s="88">
        <f t="shared" si="7"/>
        <v>0</v>
      </c>
      <c r="K35" s="89"/>
    </row>
    <row r="36" spans="1:11" x14ac:dyDescent="0.3">
      <c r="A36" s="85">
        <v>20</v>
      </c>
      <c r="B36" s="86">
        <f t="shared" si="5"/>
        <v>575</v>
      </c>
      <c r="C36" s="87">
        <f t="shared" si="1"/>
        <v>0</v>
      </c>
      <c r="D36" s="88">
        <f t="shared" si="2"/>
        <v>0</v>
      </c>
      <c r="E36" s="88">
        <f t="shared" si="3"/>
        <v>0</v>
      </c>
      <c r="F36" s="88">
        <f t="shared" si="0"/>
        <v>0</v>
      </c>
      <c r="G36" s="88">
        <f t="shared" si="4"/>
        <v>0</v>
      </c>
      <c r="H36" s="88"/>
      <c r="I36" s="88">
        <f t="shared" si="6"/>
        <v>0</v>
      </c>
      <c r="J36" s="88">
        <f t="shared" si="7"/>
        <v>0</v>
      </c>
      <c r="K36" s="89"/>
    </row>
    <row r="37" spans="1:11" x14ac:dyDescent="0.3">
      <c r="A37" s="85">
        <v>21</v>
      </c>
      <c r="B37" s="86">
        <f t="shared" si="5"/>
        <v>606</v>
      </c>
      <c r="C37" s="87">
        <f t="shared" si="1"/>
        <v>0</v>
      </c>
      <c r="D37" s="88">
        <f t="shared" si="2"/>
        <v>0</v>
      </c>
      <c r="E37" s="88">
        <f t="shared" si="3"/>
        <v>0</v>
      </c>
      <c r="F37" s="88">
        <f t="shared" si="0"/>
        <v>0</v>
      </c>
      <c r="G37" s="88">
        <f t="shared" si="4"/>
        <v>0</v>
      </c>
      <c r="H37" s="88"/>
      <c r="I37" s="88">
        <f t="shared" si="6"/>
        <v>0</v>
      </c>
      <c r="J37" s="88">
        <f t="shared" si="7"/>
        <v>0</v>
      </c>
      <c r="K37" s="89"/>
    </row>
    <row r="38" spans="1:11" x14ac:dyDescent="0.3">
      <c r="A38" s="85">
        <v>22</v>
      </c>
      <c r="B38" s="86">
        <f t="shared" si="5"/>
        <v>637</v>
      </c>
      <c r="C38" s="87">
        <f t="shared" si="1"/>
        <v>0</v>
      </c>
      <c r="D38" s="88">
        <f t="shared" si="2"/>
        <v>0</v>
      </c>
      <c r="E38" s="88">
        <f t="shared" si="3"/>
        <v>0</v>
      </c>
      <c r="F38" s="88">
        <f t="shared" si="0"/>
        <v>0</v>
      </c>
      <c r="G38" s="88">
        <f t="shared" si="4"/>
        <v>0</v>
      </c>
      <c r="H38" s="88"/>
      <c r="I38" s="88">
        <f t="shared" si="6"/>
        <v>0</v>
      </c>
      <c r="J38" s="88">
        <f t="shared" si="7"/>
        <v>0</v>
      </c>
      <c r="K38" s="89"/>
    </row>
    <row r="39" spans="1:11" x14ac:dyDescent="0.3">
      <c r="A39" s="85">
        <v>23</v>
      </c>
      <c r="B39" s="86">
        <f t="shared" si="5"/>
        <v>667</v>
      </c>
      <c r="C39" s="87">
        <f t="shared" si="1"/>
        <v>0</v>
      </c>
      <c r="D39" s="88">
        <f t="shared" si="2"/>
        <v>0</v>
      </c>
      <c r="E39" s="88">
        <f t="shared" si="3"/>
        <v>0</v>
      </c>
      <c r="F39" s="88">
        <f t="shared" si="0"/>
        <v>0</v>
      </c>
      <c r="G39" s="88">
        <f t="shared" si="4"/>
        <v>0</v>
      </c>
      <c r="H39" s="88"/>
      <c r="I39" s="88">
        <f t="shared" si="6"/>
        <v>0</v>
      </c>
      <c r="J39" s="88">
        <f t="shared" si="7"/>
        <v>0</v>
      </c>
      <c r="K39" s="89"/>
    </row>
    <row r="40" spans="1:11" x14ac:dyDescent="0.3">
      <c r="A40" s="92">
        <v>24</v>
      </c>
      <c r="B40" s="93">
        <f t="shared" si="5"/>
        <v>698</v>
      </c>
      <c r="C40" s="94">
        <f t="shared" si="1"/>
        <v>0</v>
      </c>
      <c r="D40" s="95">
        <f t="shared" si="2"/>
        <v>0</v>
      </c>
      <c r="E40" s="95">
        <f t="shared" si="3"/>
        <v>0</v>
      </c>
      <c r="F40" s="95">
        <f t="shared" si="0"/>
        <v>0</v>
      </c>
      <c r="G40" s="95">
        <f t="shared" si="4"/>
        <v>0</v>
      </c>
      <c r="H40" s="95">
        <f>G40</f>
        <v>0</v>
      </c>
      <c r="I40" s="95">
        <f>SUM(E29:E40)</f>
        <v>0</v>
      </c>
      <c r="J40" s="95">
        <f t="shared" si="7"/>
        <v>0</v>
      </c>
      <c r="K40" s="97">
        <v>2</v>
      </c>
    </row>
    <row r="41" spans="1:11" x14ac:dyDescent="0.3">
      <c r="A41" s="85">
        <v>25</v>
      </c>
      <c r="B41" s="86">
        <f t="shared" si="5"/>
        <v>728</v>
      </c>
      <c r="C41" s="87">
        <f t="shared" si="1"/>
        <v>0</v>
      </c>
      <c r="D41" s="88">
        <f t="shared" si="2"/>
        <v>0</v>
      </c>
      <c r="E41" s="88">
        <f t="shared" si="3"/>
        <v>0</v>
      </c>
      <c r="F41" s="88">
        <f t="shared" si="0"/>
        <v>0</v>
      </c>
      <c r="G41" s="88">
        <f t="shared" si="4"/>
        <v>0</v>
      </c>
      <c r="H41" s="88"/>
      <c r="I41" s="88">
        <f>SUM(E30:E41)</f>
        <v>0</v>
      </c>
      <c r="J41" s="88">
        <f t="shared" si="7"/>
        <v>0</v>
      </c>
      <c r="K41" s="89"/>
    </row>
    <row r="42" spans="1:11" x14ac:dyDescent="0.3">
      <c r="A42" s="85">
        <v>26</v>
      </c>
      <c r="B42" s="86">
        <f t="shared" si="5"/>
        <v>759</v>
      </c>
      <c r="C42" s="87">
        <f t="shared" si="1"/>
        <v>0</v>
      </c>
      <c r="D42" s="88">
        <f t="shared" si="2"/>
        <v>0</v>
      </c>
      <c r="E42" s="88">
        <f t="shared" si="3"/>
        <v>0</v>
      </c>
      <c r="F42" s="88">
        <f t="shared" si="0"/>
        <v>0</v>
      </c>
      <c r="G42" s="88">
        <f t="shared" si="4"/>
        <v>0</v>
      </c>
      <c r="H42" s="88"/>
      <c r="I42" s="88">
        <f>SUM(E31:E42)</f>
        <v>0</v>
      </c>
      <c r="J42" s="88">
        <f t="shared" si="7"/>
        <v>0</v>
      </c>
      <c r="K42" s="89"/>
    </row>
    <row r="43" spans="1:11" x14ac:dyDescent="0.3">
      <c r="A43" s="85">
        <v>27</v>
      </c>
      <c r="B43" s="86">
        <f t="shared" si="5"/>
        <v>790</v>
      </c>
      <c r="C43" s="87">
        <f t="shared" si="1"/>
        <v>0</v>
      </c>
      <c r="D43" s="88">
        <f t="shared" si="2"/>
        <v>0</v>
      </c>
      <c r="E43" s="88">
        <f t="shared" si="3"/>
        <v>0</v>
      </c>
      <c r="F43" s="88">
        <f t="shared" si="0"/>
        <v>0</v>
      </c>
      <c r="G43" s="88">
        <f t="shared" si="4"/>
        <v>0</v>
      </c>
      <c r="H43" s="88"/>
      <c r="I43" s="88">
        <f t="shared" si="6"/>
        <v>0</v>
      </c>
      <c r="J43" s="88">
        <f t="shared" si="7"/>
        <v>0</v>
      </c>
      <c r="K43" s="89"/>
    </row>
    <row r="44" spans="1:11" x14ac:dyDescent="0.3">
      <c r="A44" s="85">
        <v>28</v>
      </c>
      <c r="B44" s="86">
        <f t="shared" si="5"/>
        <v>818</v>
      </c>
      <c r="C44" s="87">
        <f t="shared" si="1"/>
        <v>0</v>
      </c>
      <c r="D44" s="88">
        <f t="shared" si="2"/>
        <v>0</v>
      </c>
      <c r="E44" s="88">
        <f t="shared" si="3"/>
        <v>0</v>
      </c>
      <c r="F44" s="88">
        <f t="shared" si="0"/>
        <v>0</v>
      </c>
      <c r="G44" s="88">
        <f t="shared" si="4"/>
        <v>0</v>
      </c>
      <c r="H44" s="88"/>
      <c r="I44" s="88">
        <f t="shared" si="6"/>
        <v>0</v>
      </c>
      <c r="J44" s="88">
        <f t="shared" si="7"/>
        <v>0</v>
      </c>
      <c r="K44" s="89"/>
    </row>
    <row r="45" spans="1:11" x14ac:dyDescent="0.3">
      <c r="A45" s="85">
        <v>29</v>
      </c>
      <c r="B45" s="86">
        <f t="shared" si="5"/>
        <v>849</v>
      </c>
      <c r="C45" s="87">
        <f t="shared" si="1"/>
        <v>0</v>
      </c>
      <c r="D45" s="88">
        <f t="shared" si="2"/>
        <v>0</v>
      </c>
      <c r="E45" s="88">
        <f t="shared" si="3"/>
        <v>0</v>
      </c>
      <c r="F45" s="88">
        <f t="shared" si="0"/>
        <v>0</v>
      </c>
      <c r="G45" s="88">
        <f t="shared" si="4"/>
        <v>0</v>
      </c>
      <c r="H45" s="88"/>
      <c r="I45" s="88">
        <f t="shared" si="6"/>
        <v>0</v>
      </c>
      <c r="J45" s="88">
        <f t="shared" si="7"/>
        <v>0</v>
      </c>
      <c r="K45" s="89"/>
    </row>
    <row r="46" spans="1:11" x14ac:dyDescent="0.3">
      <c r="A46" s="85">
        <v>30</v>
      </c>
      <c r="B46" s="86">
        <f t="shared" si="5"/>
        <v>879</v>
      </c>
      <c r="C46" s="87">
        <f t="shared" si="1"/>
        <v>0</v>
      </c>
      <c r="D46" s="88">
        <f t="shared" si="2"/>
        <v>0</v>
      </c>
      <c r="E46" s="88">
        <f t="shared" si="3"/>
        <v>0</v>
      </c>
      <c r="F46" s="88">
        <f t="shared" si="0"/>
        <v>0</v>
      </c>
      <c r="G46" s="88">
        <f t="shared" si="4"/>
        <v>0</v>
      </c>
      <c r="H46" s="88"/>
      <c r="I46" s="88">
        <f t="shared" si="6"/>
        <v>0</v>
      </c>
      <c r="J46" s="88">
        <f t="shared" si="7"/>
        <v>0</v>
      </c>
      <c r="K46" s="89"/>
    </row>
    <row r="47" spans="1:11" x14ac:dyDescent="0.3">
      <c r="A47" s="85">
        <v>31</v>
      </c>
      <c r="B47" s="86">
        <f t="shared" si="5"/>
        <v>910</v>
      </c>
      <c r="C47" s="87">
        <f t="shared" si="1"/>
        <v>0</v>
      </c>
      <c r="D47" s="88">
        <f t="shared" si="2"/>
        <v>0</v>
      </c>
      <c r="E47" s="88">
        <f t="shared" si="3"/>
        <v>0</v>
      </c>
      <c r="F47" s="88">
        <f t="shared" si="0"/>
        <v>0</v>
      </c>
      <c r="G47" s="88">
        <f t="shared" si="4"/>
        <v>0</v>
      </c>
      <c r="H47" s="88"/>
      <c r="I47" s="88">
        <f t="shared" si="6"/>
        <v>0</v>
      </c>
      <c r="J47" s="88">
        <f t="shared" si="7"/>
        <v>0</v>
      </c>
      <c r="K47" s="89"/>
    </row>
    <row r="48" spans="1:11" x14ac:dyDescent="0.3">
      <c r="A48" s="85">
        <v>32</v>
      </c>
      <c r="B48" s="86">
        <f t="shared" si="5"/>
        <v>940</v>
      </c>
      <c r="C48" s="87">
        <f t="shared" si="1"/>
        <v>0</v>
      </c>
      <c r="D48" s="88">
        <f t="shared" si="2"/>
        <v>0</v>
      </c>
      <c r="E48" s="88">
        <f t="shared" si="3"/>
        <v>0</v>
      </c>
      <c r="F48" s="88">
        <f t="shared" si="0"/>
        <v>0</v>
      </c>
      <c r="G48" s="88">
        <f t="shared" si="4"/>
        <v>0</v>
      </c>
      <c r="H48" s="88"/>
      <c r="I48" s="88">
        <f t="shared" si="6"/>
        <v>0</v>
      </c>
      <c r="J48" s="88">
        <f t="shared" si="7"/>
        <v>0</v>
      </c>
      <c r="K48" s="89"/>
    </row>
    <row r="49" spans="1:11" x14ac:dyDescent="0.3">
      <c r="A49" s="85">
        <v>33</v>
      </c>
      <c r="B49" s="86">
        <f t="shared" si="5"/>
        <v>971</v>
      </c>
      <c r="C49" s="87">
        <f t="shared" si="1"/>
        <v>0</v>
      </c>
      <c r="D49" s="88">
        <f t="shared" si="2"/>
        <v>0</v>
      </c>
      <c r="E49" s="88">
        <f t="shared" si="3"/>
        <v>0</v>
      </c>
      <c r="F49" s="88">
        <f t="shared" si="0"/>
        <v>0</v>
      </c>
      <c r="G49" s="88">
        <f t="shared" si="4"/>
        <v>0</v>
      </c>
      <c r="H49" s="88"/>
      <c r="I49" s="88">
        <f t="shared" si="6"/>
        <v>0</v>
      </c>
      <c r="J49" s="88">
        <f t="shared" si="7"/>
        <v>0</v>
      </c>
      <c r="K49" s="89"/>
    </row>
    <row r="50" spans="1:11" x14ac:dyDescent="0.3">
      <c r="A50" s="85">
        <v>34</v>
      </c>
      <c r="B50" s="86">
        <f t="shared" si="5"/>
        <v>1002</v>
      </c>
      <c r="C50" s="87">
        <f t="shared" si="1"/>
        <v>0</v>
      </c>
      <c r="D50" s="88">
        <f t="shared" si="2"/>
        <v>0</v>
      </c>
      <c r="E50" s="88">
        <f t="shared" ref="E50:E81" si="8">+G49*$D$7/12</f>
        <v>0</v>
      </c>
      <c r="F50" s="88">
        <f t="shared" si="0"/>
        <v>0</v>
      </c>
      <c r="G50" s="88">
        <f t="shared" si="4"/>
        <v>0</v>
      </c>
      <c r="H50" s="88"/>
      <c r="I50" s="88">
        <f t="shared" si="6"/>
        <v>0</v>
      </c>
      <c r="J50" s="88">
        <f t="shared" si="7"/>
        <v>0</v>
      </c>
      <c r="K50" s="89"/>
    </row>
    <row r="51" spans="1:11" x14ac:dyDescent="0.3">
      <c r="A51" s="85">
        <v>35</v>
      </c>
      <c r="B51" s="86">
        <f t="shared" si="5"/>
        <v>1032</v>
      </c>
      <c r="C51" s="87">
        <f t="shared" si="1"/>
        <v>0</v>
      </c>
      <c r="D51" s="88">
        <f t="shared" si="2"/>
        <v>0</v>
      </c>
      <c r="E51" s="88">
        <f t="shared" si="8"/>
        <v>0</v>
      </c>
      <c r="F51" s="88">
        <f t="shared" si="0"/>
        <v>0</v>
      </c>
      <c r="G51" s="88">
        <f t="shared" si="4"/>
        <v>0</v>
      </c>
      <c r="H51" s="88"/>
      <c r="I51" s="88">
        <f t="shared" si="6"/>
        <v>0</v>
      </c>
      <c r="J51" s="88">
        <f t="shared" si="7"/>
        <v>0</v>
      </c>
      <c r="K51" s="89"/>
    </row>
    <row r="52" spans="1:11" x14ac:dyDescent="0.3">
      <c r="A52" s="98">
        <v>36</v>
      </c>
      <c r="B52" s="93">
        <f t="shared" si="5"/>
        <v>1063</v>
      </c>
      <c r="C52" s="94">
        <f t="shared" si="1"/>
        <v>0</v>
      </c>
      <c r="D52" s="95">
        <f t="shared" si="2"/>
        <v>0</v>
      </c>
      <c r="E52" s="95">
        <f t="shared" si="8"/>
        <v>0</v>
      </c>
      <c r="F52" s="95">
        <f t="shared" si="0"/>
        <v>0</v>
      </c>
      <c r="G52" s="95">
        <f t="shared" si="4"/>
        <v>0</v>
      </c>
      <c r="H52" s="95">
        <f>G52</f>
        <v>0</v>
      </c>
      <c r="I52" s="95">
        <f t="shared" si="6"/>
        <v>0</v>
      </c>
      <c r="J52" s="95">
        <f t="shared" si="7"/>
        <v>0</v>
      </c>
      <c r="K52" s="97">
        <v>3</v>
      </c>
    </row>
    <row r="53" spans="1:11" x14ac:dyDescent="0.3">
      <c r="A53" s="85">
        <v>37</v>
      </c>
      <c r="B53" s="86">
        <f t="shared" si="5"/>
        <v>1093</v>
      </c>
      <c r="C53" s="87">
        <f t="shared" si="1"/>
        <v>0</v>
      </c>
      <c r="D53" s="88">
        <f t="shared" si="2"/>
        <v>0</v>
      </c>
      <c r="E53" s="88">
        <f t="shared" si="8"/>
        <v>0</v>
      </c>
      <c r="F53" s="88">
        <f t="shared" si="0"/>
        <v>0</v>
      </c>
      <c r="G53" s="88">
        <f>+G52-F53</f>
        <v>0</v>
      </c>
      <c r="H53" s="88"/>
      <c r="I53" s="88">
        <f t="shared" si="6"/>
        <v>0</v>
      </c>
      <c r="J53" s="88">
        <f t="shared" si="6"/>
        <v>0</v>
      </c>
      <c r="K53" s="89"/>
    </row>
    <row r="54" spans="1:11" x14ac:dyDescent="0.3">
      <c r="A54" s="85">
        <v>38</v>
      </c>
      <c r="B54" s="86">
        <f t="shared" si="5"/>
        <v>1124</v>
      </c>
      <c r="C54" s="87">
        <f>+C53</f>
        <v>0</v>
      </c>
      <c r="D54" s="88">
        <f t="shared" si="2"/>
        <v>0</v>
      </c>
      <c r="E54" s="88">
        <f t="shared" si="8"/>
        <v>0</v>
      </c>
      <c r="F54" s="88">
        <f t="shared" si="0"/>
        <v>0</v>
      </c>
      <c r="G54" s="88">
        <f t="shared" ref="G54:G117" si="9">+G53-F54</f>
        <v>0</v>
      </c>
      <c r="H54" s="88"/>
      <c r="I54" s="88">
        <f t="shared" ref="I54:J69" si="10">SUM(E43:E54)</f>
        <v>0</v>
      </c>
      <c r="J54" s="88">
        <f t="shared" si="10"/>
        <v>0</v>
      </c>
      <c r="K54" s="89"/>
    </row>
    <row r="55" spans="1:11" x14ac:dyDescent="0.3">
      <c r="A55" s="85">
        <v>39</v>
      </c>
      <c r="B55" s="86">
        <f t="shared" si="5"/>
        <v>1155</v>
      </c>
      <c r="C55" s="87">
        <f t="shared" si="1"/>
        <v>0</v>
      </c>
      <c r="D55" s="88">
        <f t="shared" si="2"/>
        <v>0</v>
      </c>
      <c r="E55" s="88">
        <f t="shared" si="8"/>
        <v>0</v>
      </c>
      <c r="F55" s="88">
        <f t="shared" si="0"/>
        <v>0</v>
      </c>
      <c r="G55" s="88">
        <f t="shared" si="9"/>
        <v>0</v>
      </c>
      <c r="H55" s="88"/>
      <c r="I55" s="88">
        <f t="shared" si="10"/>
        <v>0</v>
      </c>
      <c r="J55" s="88">
        <f t="shared" si="10"/>
        <v>0</v>
      </c>
      <c r="K55" s="89"/>
    </row>
    <row r="56" spans="1:11" x14ac:dyDescent="0.3">
      <c r="A56" s="85">
        <v>40</v>
      </c>
      <c r="B56" s="86">
        <f t="shared" si="5"/>
        <v>1183</v>
      </c>
      <c r="C56" s="87">
        <f t="shared" si="1"/>
        <v>0</v>
      </c>
      <c r="D56" s="88">
        <f t="shared" si="2"/>
        <v>0</v>
      </c>
      <c r="E56" s="88">
        <f t="shared" si="8"/>
        <v>0</v>
      </c>
      <c r="F56" s="88">
        <f t="shared" si="0"/>
        <v>0</v>
      </c>
      <c r="G56" s="88">
        <f t="shared" si="9"/>
        <v>0</v>
      </c>
      <c r="H56" s="88"/>
      <c r="I56" s="88">
        <f t="shared" si="10"/>
        <v>0</v>
      </c>
      <c r="J56" s="88">
        <f t="shared" si="10"/>
        <v>0</v>
      </c>
      <c r="K56" s="89"/>
    </row>
    <row r="57" spans="1:11" x14ac:dyDescent="0.3">
      <c r="A57" s="85">
        <v>41</v>
      </c>
      <c r="B57" s="86">
        <f t="shared" si="5"/>
        <v>1214</v>
      </c>
      <c r="C57" s="87">
        <f t="shared" si="1"/>
        <v>0</v>
      </c>
      <c r="D57" s="88">
        <f t="shared" si="2"/>
        <v>0</v>
      </c>
      <c r="E57" s="88">
        <f t="shared" si="8"/>
        <v>0</v>
      </c>
      <c r="F57" s="88">
        <f t="shared" si="0"/>
        <v>0</v>
      </c>
      <c r="G57" s="88">
        <f t="shared" si="9"/>
        <v>0</v>
      </c>
      <c r="H57" s="88"/>
      <c r="I57" s="88">
        <f t="shared" si="10"/>
        <v>0</v>
      </c>
      <c r="J57" s="88">
        <f t="shared" si="10"/>
        <v>0</v>
      </c>
      <c r="K57" s="89"/>
    </row>
    <row r="58" spans="1:11" x14ac:dyDescent="0.3">
      <c r="A58" s="85">
        <v>42</v>
      </c>
      <c r="B58" s="86">
        <f t="shared" si="5"/>
        <v>1244</v>
      </c>
      <c r="C58" s="87">
        <f t="shared" si="1"/>
        <v>0</v>
      </c>
      <c r="D58" s="88">
        <f t="shared" si="2"/>
        <v>0</v>
      </c>
      <c r="E58" s="88">
        <f t="shared" si="8"/>
        <v>0</v>
      </c>
      <c r="F58" s="88">
        <f t="shared" si="0"/>
        <v>0</v>
      </c>
      <c r="G58" s="88">
        <f t="shared" si="9"/>
        <v>0</v>
      </c>
      <c r="H58" s="88"/>
      <c r="I58" s="88">
        <f t="shared" si="10"/>
        <v>0</v>
      </c>
      <c r="J58" s="88">
        <f t="shared" si="10"/>
        <v>0</v>
      </c>
      <c r="K58" s="89"/>
    </row>
    <row r="59" spans="1:11" x14ac:dyDescent="0.3">
      <c r="A59" s="85">
        <v>43</v>
      </c>
      <c r="B59" s="86">
        <f t="shared" si="5"/>
        <v>1275</v>
      </c>
      <c r="C59" s="87">
        <f t="shared" si="1"/>
        <v>0</v>
      </c>
      <c r="D59" s="88">
        <f t="shared" si="2"/>
        <v>0</v>
      </c>
      <c r="E59" s="88">
        <f t="shared" si="8"/>
        <v>0</v>
      </c>
      <c r="F59" s="88">
        <f t="shared" si="0"/>
        <v>0</v>
      </c>
      <c r="G59" s="88">
        <f t="shared" si="9"/>
        <v>0</v>
      </c>
      <c r="H59" s="88"/>
      <c r="I59" s="88">
        <f t="shared" si="10"/>
        <v>0</v>
      </c>
      <c r="J59" s="88">
        <f t="shared" si="10"/>
        <v>0</v>
      </c>
      <c r="K59" s="89"/>
    </row>
    <row r="60" spans="1:11" x14ac:dyDescent="0.3">
      <c r="A60" s="85">
        <v>44</v>
      </c>
      <c r="B60" s="86">
        <f t="shared" si="5"/>
        <v>1305</v>
      </c>
      <c r="C60" s="87">
        <f t="shared" si="1"/>
        <v>0</v>
      </c>
      <c r="D60" s="88">
        <f t="shared" si="2"/>
        <v>0</v>
      </c>
      <c r="E60" s="88">
        <f t="shared" si="8"/>
        <v>0</v>
      </c>
      <c r="F60" s="88">
        <f t="shared" si="0"/>
        <v>0</v>
      </c>
      <c r="G60" s="88">
        <f t="shared" si="9"/>
        <v>0</v>
      </c>
      <c r="H60" s="88"/>
      <c r="I60" s="88">
        <f t="shared" si="10"/>
        <v>0</v>
      </c>
      <c r="J60" s="88">
        <f t="shared" si="10"/>
        <v>0</v>
      </c>
      <c r="K60" s="89"/>
    </row>
    <row r="61" spans="1:11" x14ac:dyDescent="0.3">
      <c r="A61" s="85">
        <v>45</v>
      </c>
      <c r="B61" s="86">
        <f t="shared" si="5"/>
        <v>1336</v>
      </c>
      <c r="C61" s="87">
        <f t="shared" si="1"/>
        <v>0</v>
      </c>
      <c r="D61" s="88">
        <f t="shared" si="2"/>
        <v>0</v>
      </c>
      <c r="E61" s="88">
        <f t="shared" si="8"/>
        <v>0</v>
      </c>
      <c r="F61" s="88">
        <f t="shared" si="0"/>
        <v>0</v>
      </c>
      <c r="G61" s="88">
        <f t="shared" si="9"/>
        <v>0</v>
      </c>
      <c r="H61" s="88"/>
      <c r="I61" s="88">
        <f t="shared" si="10"/>
        <v>0</v>
      </c>
      <c r="J61" s="88">
        <f t="shared" si="10"/>
        <v>0</v>
      </c>
      <c r="K61" s="89"/>
    </row>
    <row r="62" spans="1:11" x14ac:dyDescent="0.3">
      <c r="A62" s="85">
        <v>46</v>
      </c>
      <c r="B62" s="86">
        <f t="shared" si="5"/>
        <v>1367</v>
      </c>
      <c r="C62" s="87">
        <f t="shared" si="1"/>
        <v>0</v>
      </c>
      <c r="D62" s="88">
        <f t="shared" si="2"/>
        <v>0</v>
      </c>
      <c r="E62" s="88">
        <f t="shared" si="8"/>
        <v>0</v>
      </c>
      <c r="F62" s="88">
        <f t="shared" si="0"/>
        <v>0</v>
      </c>
      <c r="G62" s="88">
        <f t="shared" si="9"/>
        <v>0</v>
      </c>
      <c r="H62" s="88"/>
      <c r="I62" s="88">
        <f t="shared" si="10"/>
        <v>0</v>
      </c>
      <c r="J62" s="88">
        <f t="shared" si="10"/>
        <v>0</v>
      </c>
      <c r="K62" s="89"/>
    </row>
    <row r="63" spans="1:11" x14ac:dyDescent="0.3">
      <c r="A63" s="85">
        <v>47</v>
      </c>
      <c r="B63" s="86">
        <f t="shared" si="5"/>
        <v>1397</v>
      </c>
      <c r="C63" s="87">
        <f t="shared" si="1"/>
        <v>0</v>
      </c>
      <c r="D63" s="88">
        <f t="shared" si="2"/>
        <v>0</v>
      </c>
      <c r="E63" s="88">
        <f t="shared" si="8"/>
        <v>0</v>
      </c>
      <c r="F63" s="88">
        <f t="shared" si="0"/>
        <v>0</v>
      </c>
      <c r="G63" s="88">
        <f t="shared" si="9"/>
        <v>0</v>
      </c>
      <c r="H63" s="88"/>
      <c r="I63" s="88">
        <f t="shared" si="10"/>
        <v>0</v>
      </c>
      <c r="J63" s="88">
        <f t="shared" si="10"/>
        <v>0</v>
      </c>
      <c r="K63" s="89"/>
    </row>
    <row r="64" spans="1:11" x14ac:dyDescent="0.3">
      <c r="A64" s="98">
        <v>48</v>
      </c>
      <c r="B64" s="93">
        <f t="shared" si="5"/>
        <v>1428</v>
      </c>
      <c r="C64" s="94">
        <f t="shared" si="1"/>
        <v>0</v>
      </c>
      <c r="D64" s="95">
        <f t="shared" si="2"/>
        <v>0</v>
      </c>
      <c r="E64" s="95">
        <f t="shared" si="8"/>
        <v>0</v>
      </c>
      <c r="F64" s="95">
        <f t="shared" si="0"/>
        <v>0</v>
      </c>
      <c r="G64" s="95">
        <f t="shared" si="9"/>
        <v>0</v>
      </c>
      <c r="H64" s="95">
        <f>G64</f>
        <v>0</v>
      </c>
      <c r="I64" s="95">
        <f t="shared" si="10"/>
        <v>0</v>
      </c>
      <c r="J64" s="95">
        <f t="shared" si="10"/>
        <v>0</v>
      </c>
      <c r="K64" s="97">
        <v>4</v>
      </c>
    </row>
    <row r="65" spans="1:11" x14ac:dyDescent="0.3">
      <c r="A65" s="85">
        <v>49</v>
      </c>
      <c r="B65" s="86">
        <f t="shared" si="5"/>
        <v>1458</v>
      </c>
      <c r="C65" s="87">
        <f t="shared" si="1"/>
        <v>0</v>
      </c>
      <c r="D65" s="88">
        <f t="shared" si="2"/>
        <v>0</v>
      </c>
      <c r="E65" s="88">
        <f t="shared" si="8"/>
        <v>0</v>
      </c>
      <c r="F65" s="88">
        <f t="shared" si="0"/>
        <v>0</v>
      </c>
      <c r="G65" s="88">
        <f t="shared" si="9"/>
        <v>0</v>
      </c>
      <c r="H65" s="88"/>
      <c r="I65" s="88">
        <f t="shared" si="10"/>
        <v>0</v>
      </c>
      <c r="J65" s="88">
        <f t="shared" si="10"/>
        <v>0</v>
      </c>
      <c r="K65" s="89"/>
    </row>
    <row r="66" spans="1:11" x14ac:dyDescent="0.3">
      <c r="A66" s="85">
        <v>50</v>
      </c>
      <c r="B66" s="86">
        <f t="shared" si="5"/>
        <v>1489</v>
      </c>
      <c r="C66" s="87">
        <f t="shared" si="1"/>
        <v>0</v>
      </c>
      <c r="D66" s="88">
        <f t="shared" si="2"/>
        <v>0</v>
      </c>
      <c r="E66" s="88">
        <f t="shared" si="8"/>
        <v>0</v>
      </c>
      <c r="F66" s="88">
        <f t="shared" si="0"/>
        <v>0</v>
      </c>
      <c r="G66" s="88">
        <f t="shared" si="9"/>
        <v>0</v>
      </c>
      <c r="H66" s="88"/>
      <c r="I66" s="88">
        <f t="shared" si="10"/>
        <v>0</v>
      </c>
      <c r="J66" s="88">
        <f t="shared" si="10"/>
        <v>0</v>
      </c>
      <c r="K66" s="89"/>
    </row>
    <row r="67" spans="1:11" x14ac:dyDescent="0.3">
      <c r="A67" s="85">
        <v>51</v>
      </c>
      <c r="B67" s="86">
        <f t="shared" si="5"/>
        <v>1520</v>
      </c>
      <c r="C67" s="87">
        <f t="shared" si="1"/>
        <v>0</v>
      </c>
      <c r="D67" s="88">
        <f t="shared" si="2"/>
        <v>0</v>
      </c>
      <c r="E67" s="88">
        <f t="shared" si="8"/>
        <v>0</v>
      </c>
      <c r="F67" s="88">
        <f t="shared" si="0"/>
        <v>0</v>
      </c>
      <c r="G67" s="88">
        <f t="shared" si="9"/>
        <v>0</v>
      </c>
      <c r="H67" s="88"/>
      <c r="I67" s="88">
        <f t="shared" si="10"/>
        <v>0</v>
      </c>
      <c r="J67" s="88">
        <f t="shared" si="10"/>
        <v>0</v>
      </c>
      <c r="K67" s="89"/>
    </row>
    <row r="68" spans="1:11" x14ac:dyDescent="0.3">
      <c r="A68" s="85">
        <v>52</v>
      </c>
      <c r="B68" s="86">
        <f t="shared" si="5"/>
        <v>1549</v>
      </c>
      <c r="C68" s="87">
        <f t="shared" si="1"/>
        <v>0</v>
      </c>
      <c r="D68" s="88">
        <f t="shared" si="2"/>
        <v>0</v>
      </c>
      <c r="E68" s="88">
        <f t="shared" si="8"/>
        <v>0</v>
      </c>
      <c r="F68" s="88">
        <f t="shared" si="0"/>
        <v>0</v>
      </c>
      <c r="G68" s="88">
        <f t="shared" si="9"/>
        <v>0</v>
      </c>
      <c r="H68" s="88"/>
      <c r="I68" s="88">
        <f t="shared" si="10"/>
        <v>0</v>
      </c>
      <c r="J68" s="88">
        <f t="shared" si="10"/>
        <v>0</v>
      </c>
      <c r="K68" s="89"/>
    </row>
    <row r="69" spans="1:11" x14ac:dyDescent="0.3">
      <c r="A69" s="85">
        <v>53</v>
      </c>
      <c r="B69" s="86">
        <f t="shared" si="5"/>
        <v>1580</v>
      </c>
      <c r="C69" s="87">
        <f t="shared" si="1"/>
        <v>0</v>
      </c>
      <c r="D69" s="88">
        <f t="shared" si="2"/>
        <v>0</v>
      </c>
      <c r="E69" s="88">
        <f t="shared" si="8"/>
        <v>0</v>
      </c>
      <c r="F69" s="88">
        <f t="shared" si="0"/>
        <v>0</v>
      </c>
      <c r="G69" s="88">
        <f t="shared" si="9"/>
        <v>0</v>
      </c>
      <c r="H69" s="88"/>
      <c r="I69" s="88">
        <f t="shared" si="10"/>
        <v>0</v>
      </c>
      <c r="J69" s="88">
        <f t="shared" si="10"/>
        <v>0</v>
      </c>
      <c r="K69" s="89"/>
    </row>
    <row r="70" spans="1:11" x14ac:dyDescent="0.3">
      <c r="A70" s="85">
        <v>54</v>
      </c>
      <c r="B70" s="86">
        <f t="shared" si="5"/>
        <v>1610</v>
      </c>
      <c r="C70" s="87">
        <f t="shared" si="1"/>
        <v>0</v>
      </c>
      <c r="D70" s="88">
        <f t="shared" si="2"/>
        <v>0</v>
      </c>
      <c r="E70" s="88">
        <f t="shared" si="8"/>
        <v>0</v>
      </c>
      <c r="F70" s="88">
        <f t="shared" si="0"/>
        <v>0</v>
      </c>
      <c r="G70" s="88">
        <f t="shared" si="9"/>
        <v>0</v>
      </c>
      <c r="H70" s="88"/>
      <c r="I70" s="88">
        <f t="shared" ref="I70:J133" si="11">SUM(E59:E70)</f>
        <v>0</v>
      </c>
      <c r="J70" s="88">
        <f t="shared" si="11"/>
        <v>0</v>
      </c>
      <c r="K70" s="89"/>
    </row>
    <row r="71" spans="1:11" x14ac:dyDescent="0.3">
      <c r="A71" s="85">
        <v>55</v>
      </c>
      <c r="B71" s="86">
        <f t="shared" si="5"/>
        <v>1641</v>
      </c>
      <c r="C71" s="87">
        <f t="shared" si="1"/>
        <v>0</v>
      </c>
      <c r="D71" s="88">
        <f t="shared" si="2"/>
        <v>0</v>
      </c>
      <c r="E71" s="88">
        <f t="shared" si="8"/>
        <v>0</v>
      </c>
      <c r="F71" s="88">
        <f t="shared" si="0"/>
        <v>0</v>
      </c>
      <c r="G71" s="88">
        <f t="shared" si="9"/>
        <v>0</v>
      </c>
      <c r="H71" s="88"/>
      <c r="I71" s="88">
        <f t="shared" si="11"/>
        <v>0</v>
      </c>
      <c r="J71" s="88">
        <f t="shared" si="11"/>
        <v>0</v>
      </c>
      <c r="K71" s="89"/>
    </row>
    <row r="72" spans="1:11" x14ac:dyDescent="0.3">
      <c r="A72" s="85">
        <v>56</v>
      </c>
      <c r="B72" s="86">
        <f t="shared" si="5"/>
        <v>1671</v>
      </c>
      <c r="C72" s="87">
        <f t="shared" si="1"/>
        <v>0</v>
      </c>
      <c r="D72" s="88">
        <f t="shared" si="2"/>
        <v>0</v>
      </c>
      <c r="E72" s="88">
        <f t="shared" si="8"/>
        <v>0</v>
      </c>
      <c r="F72" s="88">
        <f t="shared" si="0"/>
        <v>0</v>
      </c>
      <c r="G72" s="88">
        <f t="shared" si="9"/>
        <v>0</v>
      </c>
      <c r="H72" s="88"/>
      <c r="I72" s="88">
        <f t="shared" si="11"/>
        <v>0</v>
      </c>
      <c r="J72" s="88">
        <f t="shared" si="11"/>
        <v>0</v>
      </c>
      <c r="K72" s="89"/>
    </row>
    <row r="73" spans="1:11" x14ac:dyDescent="0.3">
      <c r="A73" s="85">
        <v>57</v>
      </c>
      <c r="B73" s="86">
        <f t="shared" si="5"/>
        <v>1702</v>
      </c>
      <c r="C73" s="87">
        <f t="shared" si="1"/>
        <v>0</v>
      </c>
      <c r="D73" s="88">
        <f t="shared" si="2"/>
        <v>0</v>
      </c>
      <c r="E73" s="88">
        <f t="shared" si="8"/>
        <v>0</v>
      </c>
      <c r="F73" s="88">
        <f t="shared" si="0"/>
        <v>0</v>
      </c>
      <c r="G73" s="88">
        <f t="shared" si="9"/>
        <v>0</v>
      </c>
      <c r="H73" s="88"/>
      <c r="I73" s="88">
        <f t="shared" si="11"/>
        <v>0</v>
      </c>
      <c r="J73" s="88">
        <f t="shared" si="11"/>
        <v>0</v>
      </c>
      <c r="K73" s="89"/>
    </row>
    <row r="74" spans="1:11" x14ac:dyDescent="0.3">
      <c r="A74" s="85">
        <v>58</v>
      </c>
      <c r="B74" s="86">
        <f t="shared" si="5"/>
        <v>1733</v>
      </c>
      <c r="C74" s="87">
        <f t="shared" si="1"/>
        <v>0</v>
      </c>
      <c r="D74" s="88">
        <f t="shared" si="2"/>
        <v>0</v>
      </c>
      <c r="E74" s="88">
        <f t="shared" si="8"/>
        <v>0</v>
      </c>
      <c r="F74" s="88">
        <f t="shared" si="0"/>
        <v>0</v>
      </c>
      <c r="G74" s="88">
        <f t="shared" si="9"/>
        <v>0</v>
      </c>
      <c r="H74" s="88"/>
      <c r="I74" s="88">
        <f t="shared" si="11"/>
        <v>0</v>
      </c>
      <c r="J74" s="88">
        <f t="shared" si="11"/>
        <v>0</v>
      </c>
      <c r="K74" s="89"/>
    </row>
    <row r="75" spans="1:11" x14ac:dyDescent="0.3">
      <c r="A75" s="85">
        <v>59</v>
      </c>
      <c r="B75" s="86">
        <f t="shared" si="5"/>
        <v>1763</v>
      </c>
      <c r="C75" s="87">
        <f t="shared" si="1"/>
        <v>0</v>
      </c>
      <c r="D75" s="88">
        <f t="shared" si="2"/>
        <v>0</v>
      </c>
      <c r="E75" s="88">
        <f t="shared" si="8"/>
        <v>0</v>
      </c>
      <c r="F75" s="88">
        <f t="shared" si="0"/>
        <v>0</v>
      </c>
      <c r="G75" s="88">
        <f t="shared" si="9"/>
        <v>0</v>
      </c>
      <c r="H75" s="88"/>
      <c r="I75" s="88">
        <f t="shared" si="11"/>
        <v>0</v>
      </c>
      <c r="J75" s="88">
        <f t="shared" si="11"/>
        <v>0</v>
      </c>
      <c r="K75" s="89"/>
    </row>
    <row r="76" spans="1:11" x14ac:dyDescent="0.3">
      <c r="A76" s="98">
        <v>60</v>
      </c>
      <c r="B76" s="93">
        <f t="shared" si="5"/>
        <v>1794</v>
      </c>
      <c r="C76" s="94">
        <f t="shared" si="1"/>
        <v>0</v>
      </c>
      <c r="D76" s="95">
        <f t="shared" si="2"/>
        <v>0</v>
      </c>
      <c r="E76" s="95">
        <f t="shared" si="8"/>
        <v>0</v>
      </c>
      <c r="F76" s="95">
        <f t="shared" si="0"/>
        <v>0</v>
      </c>
      <c r="G76" s="95">
        <f t="shared" si="9"/>
        <v>0</v>
      </c>
      <c r="H76" s="95">
        <f>G76</f>
        <v>0</v>
      </c>
      <c r="I76" s="95">
        <f t="shared" si="11"/>
        <v>0</v>
      </c>
      <c r="J76" s="95">
        <f t="shared" si="11"/>
        <v>0</v>
      </c>
      <c r="K76" s="97">
        <v>5</v>
      </c>
    </row>
    <row r="77" spans="1:11" x14ac:dyDescent="0.3">
      <c r="A77" s="85">
        <f>A76+1</f>
        <v>61</v>
      </c>
      <c r="B77" s="86">
        <f t="shared" si="5"/>
        <v>1824</v>
      </c>
      <c r="C77" s="87">
        <f>C76</f>
        <v>0</v>
      </c>
      <c r="D77" s="88">
        <f t="shared" si="2"/>
        <v>0</v>
      </c>
      <c r="E77" s="88">
        <f t="shared" si="8"/>
        <v>0</v>
      </c>
      <c r="F77" s="88">
        <f t="shared" si="0"/>
        <v>0</v>
      </c>
      <c r="G77" s="88">
        <f t="shared" si="9"/>
        <v>0</v>
      </c>
      <c r="H77" s="88"/>
      <c r="I77" s="88">
        <f t="shared" si="11"/>
        <v>0</v>
      </c>
      <c r="J77" s="88">
        <f t="shared" si="11"/>
        <v>0</v>
      </c>
      <c r="K77" s="89"/>
    </row>
    <row r="78" spans="1:11" x14ac:dyDescent="0.3">
      <c r="A78" s="85">
        <f t="shared" ref="A78:A141" si="12">A77+1</f>
        <v>62</v>
      </c>
      <c r="B78" s="86">
        <f t="shared" si="5"/>
        <v>1855</v>
      </c>
      <c r="C78" s="87">
        <f t="shared" ref="C78:C141" si="13">C77</f>
        <v>0</v>
      </c>
      <c r="D78" s="88">
        <f t="shared" si="2"/>
        <v>0</v>
      </c>
      <c r="E78" s="88">
        <f t="shared" si="8"/>
        <v>0</v>
      </c>
      <c r="F78" s="88">
        <f t="shared" si="0"/>
        <v>0</v>
      </c>
      <c r="G78" s="88">
        <f t="shared" si="9"/>
        <v>0</v>
      </c>
      <c r="H78" s="88"/>
      <c r="I78" s="88">
        <f t="shared" si="11"/>
        <v>0</v>
      </c>
      <c r="J78" s="88">
        <f t="shared" si="11"/>
        <v>0</v>
      </c>
      <c r="K78" s="89"/>
    </row>
    <row r="79" spans="1:11" x14ac:dyDescent="0.3">
      <c r="A79" s="85">
        <f t="shared" si="12"/>
        <v>63</v>
      </c>
      <c r="B79" s="86">
        <f t="shared" si="5"/>
        <v>1886</v>
      </c>
      <c r="C79" s="87">
        <f t="shared" si="13"/>
        <v>0</v>
      </c>
      <c r="D79" s="88">
        <f t="shared" si="2"/>
        <v>0</v>
      </c>
      <c r="E79" s="88">
        <f t="shared" si="8"/>
        <v>0</v>
      </c>
      <c r="F79" s="88">
        <f t="shared" si="0"/>
        <v>0</v>
      </c>
      <c r="G79" s="88">
        <f t="shared" si="9"/>
        <v>0</v>
      </c>
      <c r="H79" s="88"/>
      <c r="I79" s="88">
        <f t="shared" si="11"/>
        <v>0</v>
      </c>
      <c r="J79" s="88">
        <f t="shared" si="11"/>
        <v>0</v>
      </c>
      <c r="K79" s="89"/>
    </row>
    <row r="80" spans="1:11" x14ac:dyDescent="0.3">
      <c r="A80" s="85">
        <f t="shared" si="12"/>
        <v>64</v>
      </c>
      <c r="B80" s="86">
        <f t="shared" si="5"/>
        <v>1914</v>
      </c>
      <c r="C80" s="87">
        <f t="shared" si="13"/>
        <v>0</v>
      </c>
      <c r="D80" s="88">
        <f t="shared" si="2"/>
        <v>0</v>
      </c>
      <c r="E80" s="88">
        <f t="shared" si="8"/>
        <v>0</v>
      </c>
      <c r="F80" s="88">
        <f t="shared" si="0"/>
        <v>0</v>
      </c>
      <c r="G80" s="88">
        <f t="shared" si="9"/>
        <v>0</v>
      </c>
      <c r="H80" s="88"/>
      <c r="I80" s="88">
        <f t="shared" si="11"/>
        <v>0</v>
      </c>
      <c r="J80" s="88">
        <f t="shared" si="11"/>
        <v>0</v>
      </c>
      <c r="K80" s="89"/>
    </row>
    <row r="81" spans="1:11" x14ac:dyDescent="0.3">
      <c r="A81" s="85">
        <f t="shared" si="12"/>
        <v>65</v>
      </c>
      <c r="B81" s="86">
        <f t="shared" si="5"/>
        <v>1945</v>
      </c>
      <c r="C81" s="87">
        <f t="shared" si="13"/>
        <v>0</v>
      </c>
      <c r="D81" s="88">
        <f t="shared" si="2"/>
        <v>0</v>
      </c>
      <c r="E81" s="88">
        <f t="shared" si="8"/>
        <v>0</v>
      </c>
      <c r="F81" s="88">
        <f t="shared" ref="F81:F144" si="14">D81-E81</f>
        <v>0</v>
      </c>
      <c r="G81" s="88">
        <f t="shared" si="9"/>
        <v>0</v>
      </c>
      <c r="H81" s="88"/>
      <c r="I81" s="88">
        <f t="shared" si="11"/>
        <v>0</v>
      </c>
      <c r="J81" s="88">
        <f t="shared" si="11"/>
        <v>0</v>
      </c>
      <c r="K81" s="89"/>
    </row>
    <row r="82" spans="1:11" x14ac:dyDescent="0.3">
      <c r="A82" s="85">
        <f t="shared" si="12"/>
        <v>66</v>
      </c>
      <c r="B82" s="86">
        <f t="shared" si="5"/>
        <v>1975</v>
      </c>
      <c r="C82" s="87">
        <f t="shared" si="13"/>
        <v>0</v>
      </c>
      <c r="D82" s="88">
        <f t="shared" ref="D82:D145" si="15">IF(OR($D$4=0,$D$6=0,$D$7=0),0,IF(A82&lt;=$D$13,E82,(-PMT($D$7/12,$D$6,$D$4))))</f>
        <v>0</v>
      </c>
      <c r="E82" s="88">
        <f t="shared" ref="E82:E113" si="16">+G81*$D$7/12</f>
        <v>0</v>
      </c>
      <c r="F82" s="88">
        <f t="shared" si="14"/>
        <v>0</v>
      </c>
      <c r="G82" s="88">
        <f t="shared" si="9"/>
        <v>0</v>
      </c>
      <c r="H82" s="88"/>
      <c r="I82" s="88">
        <f t="shared" si="11"/>
        <v>0</v>
      </c>
      <c r="J82" s="88">
        <f t="shared" si="11"/>
        <v>0</v>
      </c>
      <c r="K82" s="89"/>
    </row>
    <row r="83" spans="1:11" x14ac:dyDescent="0.3">
      <c r="A83" s="85">
        <f t="shared" si="12"/>
        <v>67</v>
      </c>
      <c r="B83" s="86">
        <f t="shared" ref="B83:B146" si="17">EDATE(B82,1)</f>
        <v>2006</v>
      </c>
      <c r="C83" s="87">
        <f t="shared" si="13"/>
        <v>0</v>
      </c>
      <c r="D83" s="88">
        <f t="shared" si="15"/>
        <v>0</v>
      </c>
      <c r="E83" s="88">
        <f t="shared" si="16"/>
        <v>0</v>
      </c>
      <c r="F83" s="88">
        <f t="shared" si="14"/>
        <v>0</v>
      </c>
      <c r="G83" s="88">
        <f t="shared" si="9"/>
        <v>0</v>
      </c>
      <c r="H83" s="88"/>
      <c r="I83" s="88">
        <f t="shared" si="11"/>
        <v>0</v>
      </c>
      <c r="J83" s="88">
        <f t="shared" si="11"/>
        <v>0</v>
      </c>
      <c r="K83" s="89"/>
    </row>
    <row r="84" spans="1:11" x14ac:dyDescent="0.3">
      <c r="A84" s="85">
        <f t="shared" si="12"/>
        <v>68</v>
      </c>
      <c r="B84" s="86">
        <f t="shared" si="17"/>
        <v>2036</v>
      </c>
      <c r="C84" s="87">
        <f t="shared" si="13"/>
        <v>0</v>
      </c>
      <c r="D84" s="88">
        <f t="shared" si="15"/>
        <v>0</v>
      </c>
      <c r="E84" s="88">
        <f t="shared" si="16"/>
        <v>0</v>
      </c>
      <c r="F84" s="88">
        <f t="shared" si="14"/>
        <v>0</v>
      </c>
      <c r="G84" s="88">
        <f t="shared" si="9"/>
        <v>0</v>
      </c>
      <c r="H84" s="88"/>
      <c r="I84" s="88">
        <f t="shared" si="11"/>
        <v>0</v>
      </c>
      <c r="J84" s="88">
        <f t="shared" si="11"/>
        <v>0</v>
      </c>
      <c r="K84" s="89"/>
    </row>
    <row r="85" spans="1:11" x14ac:dyDescent="0.3">
      <c r="A85" s="85">
        <f t="shared" si="12"/>
        <v>69</v>
      </c>
      <c r="B85" s="86">
        <f t="shared" si="17"/>
        <v>2067</v>
      </c>
      <c r="C85" s="87">
        <f t="shared" si="13"/>
        <v>0</v>
      </c>
      <c r="D85" s="88">
        <f t="shared" si="15"/>
        <v>0</v>
      </c>
      <c r="E85" s="88">
        <f t="shared" si="16"/>
        <v>0</v>
      </c>
      <c r="F85" s="88">
        <f t="shared" si="14"/>
        <v>0</v>
      </c>
      <c r="G85" s="88">
        <f t="shared" si="9"/>
        <v>0</v>
      </c>
      <c r="H85" s="88"/>
      <c r="I85" s="88">
        <f t="shared" si="11"/>
        <v>0</v>
      </c>
      <c r="J85" s="88">
        <f t="shared" si="11"/>
        <v>0</v>
      </c>
      <c r="K85" s="89"/>
    </row>
    <row r="86" spans="1:11" x14ac:dyDescent="0.3">
      <c r="A86" s="85">
        <f t="shared" si="12"/>
        <v>70</v>
      </c>
      <c r="B86" s="86">
        <f t="shared" si="17"/>
        <v>2098</v>
      </c>
      <c r="C86" s="87">
        <f t="shared" si="13"/>
        <v>0</v>
      </c>
      <c r="D86" s="88">
        <f t="shared" si="15"/>
        <v>0</v>
      </c>
      <c r="E86" s="88">
        <f t="shared" si="16"/>
        <v>0</v>
      </c>
      <c r="F86" s="88">
        <f t="shared" si="14"/>
        <v>0</v>
      </c>
      <c r="G86" s="88">
        <f t="shared" si="9"/>
        <v>0</v>
      </c>
      <c r="H86" s="88"/>
      <c r="I86" s="88">
        <f t="shared" si="11"/>
        <v>0</v>
      </c>
      <c r="J86" s="88">
        <f t="shared" si="11"/>
        <v>0</v>
      </c>
      <c r="K86" s="89"/>
    </row>
    <row r="87" spans="1:11" x14ac:dyDescent="0.3">
      <c r="A87" s="85">
        <f t="shared" si="12"/>
        <v>71</v>
      </c>
      <c r="B87" s="86">
        <f t="shared" si="17"/>
        <v>2128</v>
      </c>
      <c r="C87" s="87">
        <f t="shared" si="13"/>
        <v>0</v>
      </c>
      <c r="D87" s="88">
        <f t="shared" si="15"/>
        <v>0</v>
      </c>
      <c r="E87" s="88">
        <f t="shared" si="16"/>
        <v>0</v>
      </c>
      <c r="F87" s="88">
        <f t="shared" si="14"/>
        <v>0</v>
      </c>
      <c r="G87" s="88">
        <f t="shared" si="9"/>
        <v>0</v>
      </c>
      <c r="H87" s="88"/>
      <c r="I87" s="88">
        <f t="shared" si="11"/>
        <v>0</v>
      </c>
      <c r="J87" s="88">
        <f t="shared" si="11"/>
        <v>0</v>
      </c>
      <c r="K87" s="89"/>
    </row>
    <row r="88" spans="1:11" x14ac:dyDescent="0.3">
      <c r="A88" s="98">
        <f t="shared" si="12"/>
        <v>72</v>
      </c>
      <c r="B88" s="93">
        <f t="shared" si="17"/>
        <v>2159</v>
      </c>
      <c r="C88" s="94">
        <f t="shared" si="13"/>
        <v>0</v>
      </c>
      <c r="D88" s="95">
        <f t="shared" si="15"/>
        <v>0</v>
      </c>
      <c r="E88" s="95">
        <f t="shared" si="16"/>
        <v>0</v>
      </c>
      <c r="F88" s="95">
        <f t="shared" si="14"/>
        <v>0</v>
      </c>
      <c r="G88" s="95">
        <f t="shared" si="9"/>
        <v>0</v>
      </c>
      <c r="H88" s="95">
        <f>G88</f>
        <v>0</v>
      </c>
      <c r="I88" s="95">
        <f t="shared" si="11"/>
        <v>0</v>
      </c>
      <c r="J88" s="95">
        <f t="shared" si="11"/>
        <v>0</v>
      </c>
      <c r="K88" s="97">
        <v>6</v>
      </c>
    </row>
    <row r="89" spans="1:11" x14ac:dyDescent="0.3">
      <c r="A89" s="85">
        <f t="shared" si="12"/>
        <v>73</v>
      </c>
      <c r="B89" s="86">
        <f t="shared" si="17"/>
        <v>2189</v>
      </c>
      <c r="C89" s="87">
        <f t="shared" si="13"/>
        <v>0</v>
      </c>
      <c r="D89" s="88">
        <f t="shared" si="15"/>
        <v>0</v>
      </c>
      <c r="E89" s="88">
        <f t="shared" si="16"/>
        <v>0</v>
      </c>
      <c r="F89" s="88">
        <f t="shared" si="14"/>
        <v>0</v>
      </c>
      <c r="G89" s="88">
        <f t="shared" si="9"/>
        <v>0</v>
      </c>
      <c r="H89" s="88"/>
      <c r="I89" s="88">
        <f t="shared" si="11"/>
        <v>0</v>
      </c>
      <c r="J89" s="88">
        <f t="shared" si="11"/>
        <v>0</v>
      </c>
      <c r="K89" s="89"/>
    </row>
    <row r="90" spans="1:11" x14ac:dyDescent="0.3">
      <c r="A90" s="85">
        <f t="shared" si="12"/>
        <v>74</v>
      </c>
      <c r="B90" s="86">
        <f t="shared" si="17"/>
        <v>2220</v>
      </c>
      <c r="C90" s="87">
        <f t="shared" si="13"/>
        <v>0</v>
      </c>
      <c r="D90" s="88">
        <f t="shared" si="15"/>
        <v>0</v>
      </c>
      <c r="E90" s="88">
        <f t="shared" si="16"/>
        <v>0</v>
      </c>
      <c r="F90" s="88">
        <f t="shared" si="14"/>
        <v>0</v>
      </c>
      <c r="G90" s="88">
        <f t="shared" si="9"/>
        <v>0</v>
      </c>
      <c r="H90" s="88"/>
      <c r="I90" s="88">
        <f t="shared" si="11"/>
        <v>0</v>
      </c>
      <c r="J90" s="88">
        <f t="shared" si="11"/>
        <v>0</v>
      </c>
      <c r="K90" s="89"/>
    </row>
    <row r="91" spans="1:11" x14ac:dyDescent="0.3">
      <c r="A91" s="85">
        <f t="shared" si="12"/>
        <v>75</v>
      </c>
      <c r="B91" s="86">
        <f t="shared" si="17"/>
        <v>2251</v>
      </c>
      <c r="C91" s="87">
        <f t="shared" si="13"/>
        <v>0</v>
      </c>
      <c r="D91" s="88">
        <f t="shared" si="15"/>
        <v>0</v>
      </c>
      <c r="E91" s="88">
        <f t="shared" si="16"/>
        <v>0</v>
      </c>
      <c r="F91" s="88">
        <f t="shared" si="14"/>
        <v>0</v>
      </c>
      <c r="G91" s="88">
        <f t="shared" si="9"/>
        <v>0</v>
      </c>
      <c r="H91" s="88"/>
      <c r="I91" s="88">
        <f t="shared" si="11"/>
        <v>0</v>
      </c>
      <c r="J91" s="88">
        <f t="shared" si="11"/>
        <v>0</v>
      </c>
      <c r="K91" s="89"/>
    </row>
    <row r="92" spans="1:11" x14ac:dyDescent="0.3">
      <c r="A92" s="85">
        <f t="shared" si="12"/>
        <v>76</v>
      </c>
      <c r="B92" s="86">
        <f t="shared" si="17"/>
        <v>2279</v>
      </c>
      <c r="C92" s="87">
        <f t="shared" si="13"/>
        <v>0</v>
      </c>
      <c r="D92" s="88">
        <f t="shared" si="15"/>
        <v>0</v>
      </c>
      <c r="E92" s="88">
        <f t="shared" si="16"/>
        <v>0</v>
      </c>
      <c r="F92" s="88">
        <f t="shared" si="14"/>
        <v>0</v>
      </c>
      <c r="G92" s="88">
        <f t="shared" si="9"/>
        <v>0</v>
      </c>
      <c r="H92" s="88"/>
      <c r="I92" s="88">
        <f t="shared" si="11"/>
        <v>0</v>
      </c>
      <c r="J92" s="88">
        <f t="shared" si="11"/>
        <v>0</v>
      </c>
      <c r="K92" s="89"/>
    </row>
    <row r="93" spans="1:11" x14ac:dyDescent="0.3">
      <c r="A93" s="85">
        <f t="shared" si="12"/>
        <v>77</v>
      </c>
      <c r="B93" s="86">
        <f t="shared" si="17"/>
        <v>2310</v>
      </c>
      <c r="C93" s="87">
        <f t="shared" si="13"/>
        <v>0</v>
      </c>
      <c r="D93" s="88">
        <f t="shared" si="15"/>
        <v>0</v>
      </c>
      <c r="E93" s="88">
        <f t="shared" si="16"/>
        <v>0</v>
      </c>
      <c r="F93" s="88">
        <f t="shared" si="14"/>
        <v>0</v>
      </c>
      <c r="G93" s="88">
        <f t="shared" si="9"/>
        <v>0</v>
      </c>
      <c r="H93" s="88"/>
      <c r="I93" s="88">
        <f t="shared" si="11"/>
        <v>0</v>
      </c>
      <c r="J93" s="88">
        <f t="shared" si="11"/>
        <v>0</v>
      </c>
      <c r="K93" s="89"/>
    </row>
    <row r="94" spans="1:11" x14ac:dyDescent="0.3">
      <c r="A94" s="85">
        <f t="shared" si="12"/>
        <v>78</v>
      </c>
      <c r="B94" s="86">
        <f t="shared" si="17"/>
        <v>2340</v>
      </c>
      <c r="C94" s="87">
        <f t="shared" si="13"/>
        <v>0</v>
      </c>
      <c r="D94" s="88">
        <f t="shared" si="15"/>
        <v>0</v>
      </c>
      <c r="E94" s="88">
        <f t="shared" si="16"/>
        <v>0</v>
      </c>
      <c r="F94" s="88">
        <f t="shared" si="14"/>
        <v>0</v>
      </c>
      <c r="G94" s="88">
        <f t="shared" si="9"/>
        <v>0</v>
      </c>
      <c r="H94" s="88"/>
      <c r="I94" s="88">
        <f t="shared" si="11"/>
        <v>0</v>
      </c>
      <c r="J94" s="88">
        <f t="shared" si="11"/>
        <v>0</v>
      </c>
      <c r="K94" s="89"/>
    </row>
    <row r="95" spans="1:11" x14ac:dyDescent="0.3">
      <c r="A95" s="85">
        <f t="shared" si="12"/>
        <v>79</v>
      </c>
      <c r="B95" s="86">
        <f t="shared" si="17"/>
        <v>2371</v>
      </c>
      <c r="C95" s="87">
        <f t="shared" si="13"/>
        <v>0</v>
      </c>
      <c r="D95" s="88">
        <f t="shared" si="15"/>
        <v>0</v>
      </c>
      <c r="E95" s="88">
        <f t="shared" si="16"/>
        <v>0</v>
      </c>
      <c r="F95" s="88">
        <f t="shared" si="14"/>
        <v>0</v>
      </c>
      <c r="G95" s="88">
        <f t="shared" si="9"/>
        <v>0</v>
      </c>
      <c r="H95" s="88"/>
      <c r="I95" s="88">
        <f t="shared" si="11"/>
        <v>0</v>
      </c>
      <c r="J95" s="88">
        <f t="shared" si="11"/>
        <v>0</v>
      </c>
      <c r="K95" s="89"/>
    </row>
    <row r="96" spans="1:11" x14ac:dyDescent="0.3">
      <c r="A96" s="85">
        <f t="shared" si="12"/>
        <v>80</v>
      </c>
      <c r="B96" s="86">
        <f t="shared" si="17"/>
        <v>2401</v>
      </c>
      <c r="C96" s="87">
        <f t="shared" si="13"/>
        <v>0</v>
      </c>
      <c r="D96" s="88">
        <f t="shared" si="15"/>
        <v>0</v>
      </c>
      <c r="E96" s="88">
        <f t="shared" si="16"/>
        <v>0</v>
      </c>
      <c r="F96" s="88">
        <f t="shared" si="14"/>
        <v>0</v>
      </c>
      <c r="G96" s="88">
        <f t="shared" si="9"/>
        <v>0</v>
      </c>
      <c r="H96" s="88"/>
      <c r="I96" s="88">
        <f t="shared" si="11"/>
        <v>0</v>
      </c>
      <c r="J96" s="88">
        <f t="shared" si="11"/>
        <v>0</v>
      </c>
      <c r="K96" s="89"/>
    </row>
    <row r="97" spans="1:11" x14ac:dyDescent="0.3">
      <c r="A97" s="85">
        <f t="shared" si="12"/>
        <v>81</v>
      </c>
      <c r="B97" s="86">
        <f t="shared" si="17"/>
        <v>2432</v>
      </c>
      <c r="C97" s="87">
        <f t="shared" si="13"/>
        <v>0</v>
      </c>
      <c r="D97" s="88">
        <f t="shared" si="15"/>
        <v>0</v>
      </c>
      <c r="E97" s="88">
        <f t="shared" si="16"/>
        <v>0</v>
      </c>
      <c r="F97" s="88">
        <f t="shared" si="14"/>
        <v>0</v>
      </c>
      <c r="G97" s="88">
        <f t="shared" si="9"/>
        <v>0</v>
      </c>
      <c r="H97" s="88"/>
      <c r="I97" s="88">
        <f t="shared" si="11"/>
        <v>0</v>
      </c>
      <c r="J97" s="88">
        <f t="shared" si="11"/>
        <v>0</v>
      </c>
      <c r="K97" s="89"/>
    </row>
    <row r="98" spans="1:11" x14ac:dyDescent="0.3">
      <c r="A98" s="85">
        <f t="shared" si="12"/>
        <v>82</v>
      </c>
      <c r="B98" s="86">
        <f t="shared" si="17"/>
        <v>2463</v>
      </c>
      <c r="C98" s="87">
        <f t="shared" si="13"/>
        <v>0</v>
      </c>
      <c r="D98" s="88">
        <f t="shared" si="15"/>
        <v>0</v>
      </c>
      <c r="E98" s="88">
        <f t="shared" si="16"/>
        <v>0</v>
      </c>
      <c r="F98" s="88">
        <f t="shared" si="14"/>
        <v>0</v>
      </c>
      <c r="G98" s="88">
        <f t="shared" si="9"/>
        <v>0</v>
      </c>
      <c r="H98" s="88"/>
      <c r="I98" s="88">
        <f t="shared" si="11"/>
        <v>0</v>
      </c>
      <c r="J98" s="88">
        <f t="shared" si="11"/>
        <v>0</v>
      </c>
      <c r="K98" s="89"/>
    </row>
    <row r="99" spans="1:11" x14ac:dyDescent="0.3">
      <c r="A99" s="85">
        <f t="shared" si="12"/>
        <v>83</v>
      </c>
      <c r="B99" s="86">
        <f t="shared" si="17"/>
        <v>2493</v>
      </c>
      <c r="C99" s="87">
        <f t="shared" si="13"/>
        <v>0</v>
      </c>
      <c r="D99" s="88">
        <f t="shared" si="15"/>
        <v>0</v>
      </c>
      <c r="E99" s="88">
        <f t="shared" si="16"/>
        <v>0</v>
      </c>
      <c r="F99" s="88">
        <f t="shared" si="14"/>
        <v>0</v>
      </c>
      <c r="G99" s="88">
        <f t="shared" si="9"/>
        <v>0</v>
      </c>
      <c r="H99" s="88"/>
      <c r="I99" s="88">
        <f t="shared" si="11"/>
        <v>0</v>
      </c>
      <c r="J99" s="88">
        <f t="shared" si="11"/>
        <v>0</v>
      </c>
      <c r="K99" s="89"/>
    </row>
    <row r="100" spans="1:11" x14ac:dyDescent="0.3">
      <c r="A100" s="98">
        <f t="shared" si="12"/>
        <v>84</v>
      </c>
      <c r="B100" s="93">
        <f t="shared" si="17"/>
        <v>2524</v>
      </c>
      <c r="C100" s="94">
        <f t="shared" si="13"/>
        <v>0</v>
      </c>
      <c r="D100" s="95">
        <f t="shared" si="15"/>
        <v>0</v>
      </c>
      <c r="E100" s="95">
        <f t="shared" si="16"/>
        <v>0</v>
      </c>
      <c r="F100" s="95">
        <f t="shared" si="14"/>
        <v>0</v>
      </c>
      <c r="G100" s="95">
        <f t="shared" si="9"/>
        <v>0</v>
      </c>
      <c r="H100" s="95">
        <f>G100</f>
        <v>0</v>
      </c>
      <c r="I100" s="95">
        <f t="shared" si="11"/>
        <v>0</v>
      </c>
      <c r="J100" s="95">
        <f t="shared" si="11"/>
        <v>0</v>
      </c>
      <c r="K100" s="97">
        <v>7</v>
      </c>
    </row>
    <row r="101" spans="1:11" x14ac:dyDescent="0.3">
      <c r="A101" s="85">
        <f t="shared" si="12"/>
        <v>85</v>
      </c>
      <c r="B101" s="86">
        <f t="shared" si="17"/>
        <v>2554</v>
      </c>
      <c r="C101" s="87">
        <f t="shared" si="13"/>
        <v>0</v>
      </c>
      <c r="D101" s="88">
        <f t="shared" si="15"/>
        <v>0</v>
      </c>
      <c r="E101" s="88">
        <f t="shared" si="16"/>
        <v>0</v>
      </c>
      <c r="F101" s="88">
        <f t="shared" si="14"/>
        <v>0</v>
      </c>
      <c r="G101" s="88">
        <f t="shared" si="9"/>
        <v>0</v>
      </c>
      <c r="H101" s="88"/>
      <c r="I101" s="88">
        <f t="shared" si="11"/>
        <v>0</v>
      </c>
      <c r="J101" s="88">
        <f t="shared" si="11"/>
        <v>0</v>
      </c>
      <c r="K101" s="89"/>
    </row>
    <row r="102" spans="1:11" x14ac:dyDescent="0.3">
      <c r="A102" s="85">
        <f t="shared" si="12"/>
        <v>86</v>
      </c>
      <c r="B102" s="86">
        <f t="shared" si="17"/>
        <v>2585</v>
      </c>
      <c r="C102" s="87">
        <f t="shared" si="13"/>
        <v>0</v>
      </c>
      <c r="D102" s="88">
        <f t="shared" si="15"/>
        <v>0</v>
      </c>
      <c r="E102" s="88">
        <f t="shared" si="16"/>
        <v>0</v>
      </c>
      <c r="F102" s="88">
        <f t="shared" si="14"/>
        <v>0</v>
      </c>
      <c r="G102" s="88">
        <f t="shared" si="9"/>
        <v>0</v>
      </c>
      <c r="H102" s="88"/>
      <c r="I102" s="88">
        <f t="shared" si="11"/>
        <v>0</v>
      </c>
      <c r="J102" s="88">
        <f t="shared" si="11"/>
        <v>0</v>
      </c>
      <c r="K102" s="89"/>
    </row>
    <row r="103" spans="1:11" x14ac:dyDescent="0.3">
      <c r="A103" s="85">
        <f t="shared" si="12"/>
        <v>87</v>
      </c>
      <c r="B103" s="86">
        <f t="shared" si="17"/>
        <v>2616</v>
      </c>
      <c r="C103" s="87">
        <f t="shared" si="13"/>
        <v>0</v>
      </c>
      <c r="D103" s="88">
        <f t="shared" si="15"/>
        <v>0</v>
      </c>
      <c r="E103" s="88">
        <f t="shared" si="16"/>
        <v>0</v>
      </c>
      <c r="F103" s="88">
        <f t="shared" si="14"/>
        <v>0</v>
      </c>
      <c r="G103" s="88">
        <f t="shared" si="9"/>
        <v>0</v>
      </c>
      <c r="H103" s="88"/>
      <c r="I103" s="88">
        <f t="shared" si="11"/>
        <v>0</v>
      </c>
      <c r="J103" s="88">
        <f t="shared" si="11"/>
        <v>0</v>
      </c>
      <c r="K103" s="89"/>
    </row>
    <row r="104" spans="1:11" x14ac:dyDescent="0.3">
      <c r="A104" s="85">
        <f t="shared" si="12"/>
        <v>88</v>
      </c>
      <c r="B104" s="86">
        <f t="shared" si="17"/>
        <v>2644</v>
      </c>
      <c r="C104" s="87">
        <f t="shared" si="13"/>
        <v>0</v>
      </c>
      <c r="D104" s="88">
        <f t="shared" si="15"/>
        <v>0</v>
      </c>
      <c r="E104" s="88">
        <f t="shared" si="16"/>
        <v>0</v>
      </c>
      <c r="F104" s="88">
        <f t="shared" si="14"/>
        <v>0</v>
      </c>
      <c r="G104" s="88">
        <f t="shared" si="9"/>
        <v>0</v>
      </c>
      <c r="H104" s="88"/>
      <c r="I104" s="88">
        <f t="shared" si="11"/>
        <v>0</v>
      </c>
      <c r="J104" s="88">
        <f t="shared" si="11"/>
        <v>0</v>
      </c>
      <c r="K104" s="89"/>
    </row>
    <row r="105" spans="1:11" x14ac:dyDescent="0.3">
      <c r="A105" s="85">
        <f t="shared" si="12"/>
        <v>89</v>
      </c>
      <c r="B105" s="86">
        <f t="shared" si="17"/>
        <v>2675</v>
      </c>
      <c r="C105" s="87">
        <f t="shared" si="13"/>
        <v>0</v>
      </c>
      <c r="D105" s="88">
        <f t="shared" si="15"/>
        <v>0</v>
      </c>
      <c r="E105" s="88">
        <f t="shared" si="16"/>
        <v>0</v>
      </c>
      <c r="F105" s="88">
        <f t="shared" si="14"/>
        <v>0</v>
      </c>
      <c r="G105" s="88">
        <f t="shared" si="9"/>
        <v>0</v>
      </c>
      <c r="H105" s="88"/>
      <c r="I105" s="88">
        <f t="shared" si="11"/>
        <v>0</v>
      </c>
      <c r="J105" s="88">
        <f t="shared" si="11"/>
        <v>0</v>
      </c>
      <c r="K105" s="89"/>
    </row>
    <row r="106" spans="1:11" x14ac:dyDescent="0.3">
      <c r="A106" s="85">
        <f t="shared" si="12"/>
        <v>90</v>
      </c>
      <c r="B106" s="86">
        <f t="shared" si="17"/>
        <v>2705</v>
      </c>
      <c r="C106" s="87">
        <f t="shared" si="13"/>
        <v>0</v>
      </c>
      <c r="D106" s="88">
        <f t="shared" si="15"/>
        <v>0</v>
      </c>
      <c r="E106" s="88">
        <f t="shared" si="16"/>
        <v>0</v>
      </c>
      <c r="F106" s="88">
        <f t="shared" si="14"/>
        <v>0</v>
      </c>
      <c r="G106" s="88">
        <f t="shared" si="9"/>
        <v>0</v>
      </c>
      <c r="H106" s="88"/>
      <c r="I106" s="88">
        <f t="shared" si="11"/>
        <v>0</v>
      </c>
      <c r="J106" s="88">
        <f t="shared" si="11"/>
        <v>0</v>
      </c>
      <c r="K106" s="89"/>
    </row>
    <row r="107" spans="1:11" x14ac:dyDescent="0.3">
      <c r="A107" s="85">
        <f t="shared" si="12"/>
        <v>91</v>
      </c>
      <c r="B107" s="86">
        <f t="shared" si="17"/>
        <v>2736</v>
      </c>
      <c r="C107" s="87">
        <f t="shared" si="13"/>
        <v>0</v>
      </c>
      <c r="D107" s="88">
        <f t="shared" si="15"/>
        <v>0</v>
      </c>
      <c r="E107" s="88">
        <f t="shared" si="16"/>
        <v>0</v>
      </c>
      <c r="F107" s="88">
        <f t="shared" si="14"/>
        <v>0</v>
      </c>
      <c r="G107" s="88">
        <f t="shared" si="9"/>
        <v>0</v>
      </c>
      <c r="H107" s="88"/>
      <c r="I107" s="88">
        <f t="shared" si="11"/>
        <v>0</v>
      </c>
      <c r="J107" s="88">
        <f t="shared" si="11"/>
        <v>0</v>
      </c>
      <c r="K107" s="89"/>
    </row>
    <row r="108" spans="1:11" x14ac:dyDescent="0.3">
      <c r="A108" s="85">
        <f t="shared" si="12"/>
        <v>92</v>
      </c>
      <c r="B108" s="86">
        <f t="shared" si="17"/>
        <v>2766</v>
      </c>
      <c r="C108" s="87">
        <f t="shared" si="13"/>
        <v>0</v>
      </c>
      <c r="D108" s="88">
        <f t="shared" si="15"/>
        <v>0</v>
      </c>
      <c r="E108" s="88">
        <f t="shared" si="16"/>
        <v>0</v>
      </c>
      <c r="F108" s="88">
        <f t="shared" si="14"/>
        <v>0</v>
      </c>
      <c r="G108" s="88">
        <f t="shared" si="9"/>
        <v>0</v>
      </c>
      <c r="H108" s="88"/>
      <c r="I108" s="88">
        <f t="shared" si="11"/>
        <v>0</v>
      </c>
      <c r="J108" s="88">
        <f t="shared" si="11"/>
        <v>0</v>
      </c>
      <c r="K108" s="89"/>
    </row>
    <row r="109" spans="1:11" x14ac:dyDescent="0.3">
      <c r="A109" s="85">
        <f t="shared" si="12"/>
        <v>93</v>
      </c>
      <c r="B109" s="86">
        <f t="shared" si="17"/>
        <v>2797</v>
      </c>
      <c r="C109" s="87">
        <f t="shared" si="13"/>
        <v>0</v>
      </c>
      <c r="D109" s="88">
        <f t="shared" si="15"/>
        <v>0</v>
      </c>
      <c r="E109" s="88">
        <f t="shared" si="16"/>
        <v>0</v>
      </c>
      <c r="F109" s="88">
        <f t="shared" si="14"/>
        <v>0</v>
      </c>
      <c r="G109" s="88">
        <f t="shared" si="9"/>
        <v>0</v>
      </c>
      <c r="H109" s="88"/>
      <c r="I109" s="88">
        <f t="shared" si="11"/>
        <v>0</v>
      </c>
      <c r="J109" s="88">
        <f t="shared" si="11"/>
        <v>0</v>
      </c>
      <c r="K109" s="89"/>
    </row>
    <row r="110" spans="1:11" x14ac:dyDescent="0.3">
      <c r="A110" s="85">
        <f t="shared" si="12"/>
        <v>94</v>
      </c>
      <c r="B110" s="86">
        <f t="shared" si="17"/>
        <v>2828</v>
      </c>
      <c r="C110" s="87">
        <f t="shared" si="13"/>
        <v>0</v>
      </c>
      <c r="D110" s="88">
        <f t="shared" si="15"/>
        <v>0</v>
      </c>
      <c r="E110" s="88">
        <f t="shared" si="16"/>
        <v>0</v>
      </c>
      <c r="F110" s="88">
        <f t="shared" si="14"/>
        <v>0</v>
      </c>
      <c r="G110" s="88">
        <f t="shared" si="9"/>
        <v>0</v>
      </c>
      <c r="H110" s="88"/>
      <c r="I110" s="88">
        <f t="shared" si="11"/>
        <v>0</v>
      </c>
      <c r="J110" s="88">
        <f t="shared" si="11"/>
        <v>0</v>
      </c>
      <c r="K110" s="89"/>
    </row>
    <row r="111" spans="1:11" x14ac:dyDescent="0.3">
      <c r="A111" s="85">
        <f t="shared" si="12"/>
        <v>95</v>
      </c>
      <c r="B111" s="86">
        <f t="shared" si="17"/>
        <v>2858</v>
      </c>
      <c r="C111" s="87">
        <f t="shared" si="13"/>
        <v>0</v>
      </c>
      <c r="D111" s="88">
        <f t="shared" si="15"/>
        <v>0</v>
      </c>
      <c r="E111" s="88">
        <f t="shared" si="16"/>
        <v>0</v>
      </c>
      <c r="F111" s="88">
        <f t="shared" si="14"/>
        <v>0</v>
      </c>
      <c r="G111" s="88">
        <f t="shared" si="9"/>
        <v>0</v>
      </c>
      <c r="H111" s="88"/>
      <c r="I111" s="88">
        <f t="shared" si="11"/>
        <v>0</v>
      </c>
      <c r="J111" s="88">
        <f t="shared" si="11"/>
        <v>0</v>
      </c>
      <c r="K111" s="89"/>
    </row>
    <row r="112" spans="1:11" x14ac:dyDescent="0.3">
      <c r="A112" s="98">
        <f t="shared" si="12"/>
        <v>96</v>
      </c>
      <c r="B112" s="93">
        <f t="shared" si="17"/>
        <v>2889</v>
      </c>
      <c r="C112" s="94">
        <f t="shared" si="13"/>
        <v>0</v>
      </c>
      <c r="D112" s="95">
        <f t="shared" si="15"/>
        <v>0</v>
      </c>
      <c r="E112" s="95">
        <f t="shared" si="16"/>
        <v>0</v>
      </c>
      <c r="F112" s="95">
        <f t="shared" si="14"/>
        <v>0</v>
      </c>
      <c r="G112" s="95">
        <f t="shared" si="9"/>
        <v>0</v>
      </c>
      <c r="H112" s="95">
        <f>G112</f>
        <v>0</v>
      </c>
      <c r="I112" s="95">
        <f t="shared" si="11"/>
        <v>0</v>
      </c>
      <c r="J112" s="95">
        <f t="shared" si="11"/>
        <v>0</v>
      </c>
      <c r="K112" s="97">
        <v>8</v>
      </c>
    </row>
    <row r="113" spans="1:11" x14ac:dyDescent="0.3">
      <c r="A113" s="85">
        <f t="shared" si="12"/>
        <v>97</v>
      </c>
      <c r="B113" s="86">
        <f t="shared" si="17"/>
        <v>2919</v>
      </c>
      <c r="C113" s="87">
        <f t="shared" si="13"/>
        <v>0</v>
      </c>
      <c r="D113" s="88">
        <f t="shared" si="15"/>
        <v>0</v>
      </c>
      <c r="E113" s="88">
        <f t="shared" si="16"/>
        <v>0</v>
      </c>
      <c r="F113" s="88">
        <f t="shared" si="14"/>
        <v>0</v>
      </c>
      <c r="G113" s="88">
        <f t="shared" si="9"/>
        <v>0</v>
      </c>
      <c r="H113" s="88"/>
      <c r="I113" s="88">
        <f t="shared" si="11"/>
        <v>0</v>
      </c>
      <c r="J113" s="88">
        <f t="shared" si="11"/>
        <v>0</v>
      </c>
      <c r="K113" s="89"/>
    </row>
    <row r="114" spans="1:11" x14ac:dyDescent="0.3">
      <c r="A114" s="85">
        <f t="shared" si="12"/>
        <v>98</v>
      </c>
      <c r="B114" s="86">
        <f t="shared" si="17"/>
        <v>2950</v>
      </c>
      <c r="C114" s="87">
        <f t="shared" si="13"/>
        <v>0</v>
      </c>
      <c r="D114" s="88">
        <f t="shared" si="15"/>
        <v>0</v>
      </c>
      <c r="E114" s="88">
        <f t="shared" ref="E114:E148" si="18">+G113*$D$7/12</f>
        <v>0</v>
      </c>
      <c r="F114" s="88">
        <f t="shared" si="14"/>
        <v>0</v>
      </c>
      <c r="G114" s="88">
        <f t="shared" si="9"/>
        <v>0</v>
      </c>
      <c r="H114" s="88"/>
      <c r="I114" s="88">
        <f t="shared" si="11"/>
        <v>0</v>
      </c>
      <c r="J114" s="88">
        <f t="shared" si="11"/>
        <v>0</v>
      </c>
      <c r="K114" s="89"/>
    </row>
    <row r="115" spans="1:11" x14ac:dyDescent="0.3">
      <c r="A115" s="85">
        <f t="shared" si="12"/>
        <v>99</v>
      </c>
      <c r="B115" s="86">
        <f t="shared" si="17"/>
        <v>2981</v>
      </c>
      <c r="C115" s="87">
        <f t="shared" si="13"/>
        <v>0</v>
      </c>
      <c r="D115" s="88">
        <f t="shared" si="15"/>
        <v>0</v>
      </c>
      <c r="E115" s="88">
        <f t="shared" si="18"/>
        <v>0</v>
      </c>
      <c r="F115" s="88">
        <f t="shared" si="14"/>
        <v>0</v>
      </c>
      <c r="G115" s="88">
        <f t="shared" si="9"/>
        <v>0</v>
      </c>
      <c r="H115" s="88"/>
      <c r="I115" s="88">
        <f t="shared" si="11"/>
        <v>0</v>
      </c>
      <c r="J115" s="88">
        <f t="shared" si="11"/>
        <v>0</v>
      </c>
      <c r="K115" s="89"/>
    </row>
    <row r="116" spans="1:11" x14ac:dyDescent="0.3">
      <c r="A116" s="85">
        <f t="shared" si="12"/>
        <v>100</v>
      </c>
      <c r="B116" s="86">
        <f t="shared" si="17"/>
        <v>3010</v>
      </c>
      <c r="C116" s="87">
        <f t="shared" si="13"/>
        <v>0</v>
      </c>
      <c r="D116" s="88">
        <f t="shared" si="15"/>
        <v>0</v>
      </c>
      <c r="E116" s="88">
        <f t="shared" si="18"/>
        <v>0</v>
      </c>
      <c r="F116" s="88">
        <f t="shared" si="14"/>
        <v>0</v>
      </c>
      <c r="G116" s="88">
        <f t="shared" si="9"/>
        <v>0</v>
      </c>
      <c r="H116" s="88"/>
      <c r="I116" s="88">
        <f t="shared" si="11"/>
        <v>0</v>
      </c>
      <c r="J116" s="88">
        <f t="shared" si="11"/>
        <v>0</v>
      </c>
      <c r="K116" s="89"/>
    </row>
    <row r="117" spans="1:11" x14ac:dyDescent="0.3">
      <c r="A117" s="85">
        <f t="shared" si="12"/>
        <v>101</v>
      </c>
      <c r="B117" s="86">
        <f t="shared" si="17"/>
        <v>3041</v>
      </c>
      <c r="C117" s="87">
        <f t="shared" si="13"/>
        <v>0</v>
      </c>
      <c r="D117" s="88">
        <f t="shared" si="15"/>
        <v>0</v>
      </c>
      <c r="E117" s="88">
        <f t="shared" si="18"/>
        <v>0</v>
      </c>
      <c r="F117" s="88">
        <f t="shared" si="14"/>
        <v>0</v>
      </c>
      <c r="G117" s="88">
        <f t="shared" si="9"/>
        <v>0</v>
      </c>
      <c r="H117" s="88"/>
      <c r="I117" s="88">
        <f t="shared" si="11"/>
        <v>0</v>
      </c>
      <c r="J117" s="88">
        <f t="shared" si="11"/>
        <v>0</v>
      </c>
      <c r="K117" s="89"/>
    </row>
    <row r="118" spans="1:11" x14ac:dyDescent="0.3">
      <c r="A118" s="85">
        <f t="shared" si="12"/>
        <v>102</v>
      </c>
      <c r="B118" s="86">
        <f t="shared" si="17"/>
        <v>3071</v>
      </c>
      <c r="C118" s="87">
        <f t="shared" si="13"/>
        <v>0</v>
      </c>
      <c r="D118" s="88">
        <f t="shared" si="15"/>
        <v>0</v>
      </c>
      <c r="E118" s="88">
        <f t="shared" si="18"/>
        <v>0</v>
      </c>
      <c r="F118" s="88">
        <f t="shared" si="14"/>
        <v>0</v>
      </c>
      <c r="G118" s="88">
        <f t="shared" ref="G118:G148" si="19">+G117-F118</f>
        <v>0</v>
      </c>
      <c r="H118" s="88"/>
      <c r="I118" s="88">
        <f t="shared" si="11"/>
        <v>0</v>
      </c>
      <c r="J118" s="88">
        <f t="shared" si="11"/>
        <v>0</v>
      </c>
      <c r="K118" s="89"/>
    </row>
    <row r="119" spans="1:11" x14ac:dyDescent="0.3">
      <c r="A119" s="85">
        <f t="shared" si="12"/>
        <v>103</v>
      </c>
      <c r="B119" s="86">
        <f t="shared" si="17"/>
        <v>3102</v>
      </c>
      <c r="C119" s="87">
        <f t="shared" si="13"/>
        <v>0</v>
      </c>
      <c r="D119" s="88">
        <f t="shared" si="15"/>
        <v>0</v>
      </c>
      <c r="E119" s="88">
        <f t="shared" si="18"/>
        <v>0</v>
      </c>
      <c r="F119" s="88">
        <f t="shared" si="14"/>
        <v>0</v>
      </c>
      <c r="G119" s="88">
        <f t="shared" si="19"/>
        <v>0</v>
      </c>
      <c r="H119" s="88"/>
      <c r="I119" s="88">
        <f t="shared" si="11"/>
        <v>0</v>
      </c>
      <c r="J119" s="88">
        <f t="shared" si="11"/>
        <v>0</v>
      </c>
      <c r="K119" s="89"/>
    </row>
    <row r="120" spans="1:11" x14ac:dyDescent="0.3">
      <c r="A120" s="85">
        <f t="shared" si="12"/>
        <v>104</v>
      </c>
      <c r="B120" s="86">
        <f t="shared" si="17"/>
        <v>3132</v>
      </c>
      <c r="C120" s="87">
        <f t="shared" si="13"/>
        <v>0</v>
      </c>
      <c r="D120" s="88">
        <f t="shared" si="15"/>
        <v>0</v>
      </c>
      <c r="E120" s="88">
        <f t="shared" si="18"/>
        <v>0</v>
      </c>
      <c r="F120" s="88">
        <f t="shared" si="14"/>
        <v>0</v>
      </c>
      <c r="G120" s="88">
        <f t="shared" si="19"/>
        <v>0</v>
      </c>
      <c r="H120" s="88"/>
      <c r="I120" s="88">
        <f t="shared" si="11"/>
        <v>0</v>
      </c>
      <c r="J120" s="88">
        <f t="shared" si="11"/>
        <v>0</v>
      </c>
      <c r="K120" s="89"/>
    </row>
    <row r="121" spans="1:11" x14ac:dyDescent="0.3">
      <c r="A121" s="85">
        <f t="shared" si="12"/>
        <v>105</v>
      </c>
      <c r="B121" s="86">
        <f t="shared" si="17"/>
        <v>3163</v>
      </c>
      <c r="C121" s="87">
        <f t="shared" si="13"/>
        <v>0</v>
      </c>
      <c r="D121" s="88">
        <f t="shared" si="15"/>
        <v>0</v>
      </c>
      <c r="E121" s="88">
        <f t="shared" si="18"/>
        <v>0</v>
      </c>
      <c r="F121" s="88">
        <f t="shared" si="14"/>
        <v>0</v>
      </c>
      <c r="G121" s="88">
        <f t="shared" si="19"/>
        <v>0</v>
      </c>
      <c r="H121" s="88"/>
      <c r="I121" s="88">
        <f t="shared" si="11"/>
        <v>0</v>
      </c>
      <c r="J121" s="88">
        <f t="shared" si="11"/>
        <v>0</v>
      </c>
      <c r="K121" s="89"/>
    </row>
    <row r="122" spans="1:11" x14ac:dyDescent="0.3">
      <c r="A122" s="85">
        <f t="shared" si="12"/>
        <v>106</v>
      </c>
      <c r="B122" s="86">
        <f t="shared" si="17"/>
        <v>3194</v>
      </c>
      <c r="C122" s="87">
        <f t="shared" si="13"/>
        <v>0</v>
      </c>
      <c r="D122" s="88">
        <f t="shared" si="15"/>
        <v>0</v>
      </c>
      <c r="E122" s="88">
        <f t="shared" si="18"/>
        <v>0</v>
      </c>
      <c r="F122" s="88">
        <f t="shared" si="14"/>
        <v>0</v>
      </c>
      <c r="G122" s="88">
        <f t="shared" si="19"/>
        <v>0</v>
      </c>
      <c r="H122" s="88"/>
      <c r="I122" s="88">
        <f t="shared" ref="I122:I148" si="20">SUM(E111:E122)</f>
        <v>0</v>
      </c>
      <c r="J122" s="88">
        <f t="shared" si="11"/>
        <v>0</v>
      </c>
      <c r="K122" s="89"/>
    </row>
    <row r="123" spans="1:11" x14ac:dyDescent="0.3">
      <c r="A123" s="85">
        <f t="shared" si="12"/>
        <v>107</v>
      </c>
      <c r="B123" s="86">
        <f t="shared" si="17"/>
        <v>3224</v>
      </c>
      <c r="C123" s="87">
        <f t="shared" si="13"/>
        <v>0</v>
      </c>
      <c r="D123" s="88">
        <f t="shared" si="15"/>
        <v>0</v>
      </c>
      <c r="E123" s="88">
        <f t="shared" si="18"/>
        <v>0</v>
      </c>
      <c r="F123" s="88">
        <f t="shared" si="14"/>
        <v>0</v>
      </c>
      <c r="G123" s="88">
        <f t="shared" si="19"/>
        <v>0</v>
      </c>
      <c r="H123" s="88"/>
      <c r="I123" s="88">
        <f t="shared" si="20"/>
        <v>0</v>
      </c>
      <c r="J123" s="88">
        <f t="shared" si="11"/>
        <v>0</v>
      </c>
      <c r="K123" s="89"/>
    </row>
    <row r="124" spans="1:11" x14ac:dyDescent="0.3">
      <c r="A124" s="98">
        <f t="shared" si="12"/>
        <v>108</v>
      </c>
      <c r="B124" s="93">
        <f t="shared" si="17"/>
        <v>3255</v>
      </c>
      <c r="C124" s="94">
        <f t="shared" si="13"/>
        <v>0</v>
      </c>
      <c r="D124" s="95">
        <f t="shared" si="15"/>
        <v>0</v>
      </c>
      <c r="E124" s="95">
        <f t="shared" si="18"/>
        <v>0</v>
      </c>
      <c r="F124" s="95">
        <f t="shared" si="14"/>
        <v>0</v>
      </c>
      <c r="G124" s="95">
        <f t="shared" si="19"/>
        <v>0</v>
      </c>
      <c r="H124" s="95">
        <f>G124</f>
        <v>0</v>
      </c>
      <c r="I124" s="95">
        <f t="shared" si="20"/>
        <v>0</v>
      </c>
      <c r="J124" s="95">
        <f t="shared" si="11"/>
        <v>0</v>
      </c>
      <c r="K124" s="97">
        <v>9</v>
      </c>
    </row>
    <row r="125" spans="1:11" x14ac:dyDescent="0.3">
      <c r="A125" s="85">
        <f t="shared" si="12"/>
        <v>109</v>
      </c>
      <c r="B125" s="86">
        <f t="shared" si="17"/>
        <v>3285</v>
      </c>
      <c r="C125" s="87">
        <f t="shared" si="13"/>
        <v>0</v>
      </c>
      <c r="D125" s="88">
        <f t="shared" si="15"/>
        <v>0</v>
      </c>
      <c r="E125" s="88">
        <f t="shared" si="18"/>
        <v>0</v>
      </c>
      <c r="F125" s="88">
        <f t="shared" si="14"/>
        <v>0</v>
      </c>
      <c r="G125" s="88">
        <f t="shared" si="19"/>
        <v>0</v>
      </c>
      <c r="H125" s="88"/>
      <c r="I125" s="88">
        <f t="shared" si="20"/>
        <v>0</v>
      </c>
      <c r="J125" s="88">
        <f t="shared" si="11"/>
        <v>0</v>
      </c>
      <c r="K125" s="89"/>
    </row>
    <row r="126" spans="1:11" x14ac:dyDescent="0.3">
      <c r="A126" s="85">
        <f t="shared" si="12"/>
        <v>110</v>
      </c>
      <c r="B126" s="86">
        <f t="shared" si="17"/>
        <v>3316</v>
      </c>
      <c r="C126" s="87">
        <f t="shared" si="13"/>
        <v>0</v>
      </c>
      <c r="D126" s="88">
        <f t="shared" si="15"/>
        <v>0</v>
      </c>
      <c r="E126" s="88">
        <f t="shared" si="18"/>
        <v>0</v>
      </c>
      <c r="F126" s="88">
        <f t="shared" si="14"/>
        <v>0</v>
      </c>
      <c r="G126" s="88">
        <f t="shared" si="19"/>
        <v>0</v>
      </c>
      <c r="H126" s="88"/>
      <c r="I126" s="88">
        <f t="shared" si="20"/>
        <v>0</v>
      </c>
      <c r="J126" s="88">
        <f t="shared" si="11"/>
        <v>0</v>
      </c>
      <c r="K126" s="89"/>
    </row>
    <row r="127" spans="1:11" x14ac:dyDescent="0.3">
      <c r="A127" s="85">
        <f t="shared" si="12"/>
        <v>111</v>
      </c>
      <c r="B127" s="86">
        <f t="shared" si="17"/>
        <v>3347</v>
      </c>
      <c r="C127" s="87">
        <f t="shared" si="13"/>
        <v>0</v>
      </c>
      <c r="D127" s="88">
        <f t="shared" si="15"/>
        <v>0</v>
      </c>
      <c r="E127" s="88">
        <f t="shared" si="18"/>
        <v>0</v>
      </c>
      <c r="F127" s="88">
        <f t="shared" si="14"/>
        <v>0</v>
      </c>
      <c r="G127" s="88">
        <f t="shared" si="19"/>
        <v>0</v>
      </c>
      <c r="H127" s="88"/>
      <c r="I127" s="88">
        <f t="shared" si="20"/>
        <v>0</v>
      </c>
      <c r="J127" s="88">
        <f t="shared" si="11"/>
        <v>0</v>
      </c>
      <c r="K127" s="89"/>
    </row>
    <row r="128" spans="1:11" x14ac:dyDescent="0.3">
      <c r="A128" s="85">
        <f t="shared" si="12"/>
        <v>112</v>
      </c>
      <c r="B128" s="86">
        <f t="shared" si="17"/>
        <v>3375</v>
      </c>
      <c r="C128" s="87">
        <f t="shared" si="13"/>
        <v>0</v>
      </c>
      <c r="D128" s="88">
        <f t="shared" si="15"/>
        <v>0</v>
      </c>
      <c r="E128" s="88">
        <f t="shared" si="18"/>
        <v>0</v>
      </c>
      <c r="F128" s="88">
        <f t="shared" si="14"/>
        <v>0</v>
      </c>
      <c r="G128" s="88">
        <f t="shared" si="19"/>
        <v>0</v>
      </c>
      <c r="H128" s="88"/>
      <c r="I128" s="88">
        <f t="shared" si="20"/>
        <v>0</v>
      </c>
      <c r="J128" s="88">
        <f t="shared" si="11"/>
        <v>0</v>
      </c>
      <c r="K128" s="89"/>
    </row>
    <row r="129" spans="1:11" x14ac:dyDescent="0.3">
      <c r="A129" s="85">
        <f t="shared" si="12"/>
        <v>113</v>
      </c>
      <c r="B129" s="86">
        <f t="shared" si="17"/>
        <v>3406</v>
      </c>
      <c r="C129" s="87">
        <f t="shared" si="13"/>
        <v>0</v>
      </c>
      <c r="D129" s="88">
        <f t="shared" si="15"/>
        <v>0</v>
      </c>
      <c r="E129" s="88">
        <f t="shared" si="18"/>
        <v>0</v>
      </c>
      <c r="F129" s="88">
        <f t="shared" si="14"/>
        <v>0</v>
      </c>
      <c r="G129" s="88">
        <f t="shared" si="19"/>
        <v>0</v>
      </c>
      <c r="H129" s="88"/>
      <c r="I129" s="88">
        <f t="shared" si="20"/>
        <v>0</v>
      </c>
      <c r="J129" s="88">
        <f t="shared" si="11"/>
        <v>0</v>
      </c>
      <c r="K129" s="89"/>
    </row>
    <row r="130" spans="1:11" x14ac:dyDescent="0.3">
      <c r="A130" s="85">
        <f t="shared" si="12"/>
        <v>114</v>
      </c>
      <c r="B130" s="86">
        <f t="shared" si="17"/>
        <v>3436</v>
      </c>
      <c r="C130" s="87">
        <f t="shared" si="13"/>
        <v>0</v>
      </c>
      <c r="D130" s="88">
        <f t="shared" si="15"/>
        <v>0</v>
      </c>
      <c r="E130" s="88">
        <f t="shared" si="18"/>
        <v>0</v>
      </c>
      <c r="F130" s="88">
        <f t="shared" si="14"/>
        <v>0</v>
      </c>
      <c r="G130" s="88">
        <f t="shared" si="19"/>
        <v>0</v>
      </c>
      <c r="H130" s="88"/>
      <c r="I130" s="88">
        <f t="shared" si="20"/>
        <v>0</v>
      </c>
      <c r="J130" s="88">
        <f t="shared" si="11"/>
        <v>0</v>
      </c>
      <c r="K130" s="89"/>
    </row>
    <row r="131" spans="1:11" x14ac:dyDescent="0.3">
      <c r="A131" s="85">
        <f t="shared" si="12"/>
        <v>115</v>
      </c>
      <c r="B131" s="86">
        <f t="shared" si="17"/>
        <v>3467</v>
      </c>
      <c r="C131" s="87">
        <f t="shared" si="13"/>
        <v>0</v>
      </c>
      <c r="D131" s="88">
        <f t="shared" si="15"/>
        <v>0</v>
      </c>
      <c r="E131" s="88">
        <f t="shared" si="18"/>
        <v>0</v>
      </c>
      <c r="F131" s="88">
        <f t="shared" si="14"/>
        <v>0</v>
      </c>
      <c r="G131" s="88">
        <f t="shared" si="19"/>
        <v>0</v>
      </c>
      <c r="H131" s="88"/>
      <c r="I131" s="88">
        <f t="shared" si="20"/>
        <v>0</v>
      </c>
      <c r="J131" s="88">
        <f t="shared" si="11"/>
        <v>0</v>
      </c>
      <c r="K131" s="89"/>
    </row>
    <row r="132" spans="1:11" x14ac:dyDescent="0.3">
      <c r="A132" s="85">
        <f t="shared" si="12"/>
        <v>116</v>
      </c>
      <c r="B132" s="86">
        <f t="shared" si="17"/>
        <v>3497</v>
      </c>
      <c r="C132" s="87">
        <f t="shared" si="13"/>
        <v>0</v>
      </c>
      <c r="D132" s="88">
        <f t="shared" si="15"/>
        <v>0</v>
      </c>
      <c r="E132" s="88">
        <f t="shared" si="18"/>
        <v>0</v>
      </c>
      <c r="F132" s="88">
        <f t="shared" si="14"/>
        <v>0</v>
      </c>
      <c r="G132" s="88">
        <f t="shared" si="19"/>
        <v>0</v>
      </c>
      <c r="H132" s="88"/>
      <c r="I132" s="88">
        <f t="shared" si="20"/>
        <v>0</v>
      </c>
      <c r="J132" s="88">
        <f t="shared" si="11"/>
        <v>0</v>
      </c>
      <c r="K132" s="89"/>
    </row>
    <row r="133" spans="1:11" x14ac:dyDescent="0.3">
      <c r="A133" s="85">
        <f t="shared" si="12"/>
        <v>117</v>
      </c>
      <c r="B133" s="86">
        <f t="shared" si="17"/>
        <v>3528</v>
      </c>
      <c r="C133" s="87">
        <f t="shared" si="13"/>
        <v>0</v>
      </c>
      <c r="D133" s="88">
        <f t="shared" si="15"/>
        <v>0</v>
      </c>
      <c r="E133" s="88">
        <f t="shared" si="18"/>
        <v>0</v>
      </c>
      <c r="F133" s="88">
        <f t="shared" si="14"/>
        <v>0</v>
      </c>
      <c r="G133" s="88">
        <f t="shared" si="19"/>
        <v>0</v>
      </c>
      <c r="H133" s="88"/>
      <c r="I133" s="88">
        <f t="shared" si="20"/>
        <v>0</v>
      </c>
      <c r="J133" s="88">
        <f t="shared" si="11"/>
        <v>0</v>
      </c>
      <c r="K133" s="89"/>
    </row>
    <row r="134" spans="1:11" x14ac:dyDescent="0.3">
      <c r="A134" s="85">
        <f t="shared" si="12"/>
        <v>118</v>
      </c>
      <c r="B134" s="86">
        <f t="shared" si="17"/>
        <v>3559</v>
      </c>
      <c r="C134" s="87">
        <f t="shared" si="13"/>
        <v>0</v>
      </c>
      <c r="D134" s="88">
        <f t="shared" si="15"/>
        <v>0</v>
      </c>
      <c r="E134" s="88">
        <f t="shared" si="18"/>
        <v>0</v>
      </c>
      <c r="F134" s="88">
        <f t="shared" si="14"/>
        <v>0</v>
      </c>
      <c r="G134" s="88">
        <f t="shared" si="19"/>
        <v>0</v>
      </c>
      <c r="H134" s="88"/>
      <c r="I134" s="88">
        <f t="shared" si="20"/>
        <v>0</v>
      </c>
      <c r="J134" s="88">
        <f t="shared" ref="J134:J148" si="21">SUM(F123:F134)</f>
        <v>0</v>
      </c>
      <c r="K134" s="89"/>
    </row>
    <row r="135" spans="1:11" x14ac:dyDescent="0.3">
      <c r="A135" s="85">
        <f t="shared" si="12"/>
        <v>119</v>
      </c>
      <c r="B135" s="86">
        <f t="shared" si="17"/>
        <v>3589</v>
      </c>
      <c r="C135" s="87">
        <f t="shared" si="13"/>
        <v>0</v>
      </c>
      <c r="D135" s="88">
        <f t="shared" si="15"/>
        <v>0</v>
      </c>
      <c r="E135" s="88">
        <f t="shared" si="18"/>
        <v>0</v>
      </c>
      <c r="F135" s="88">
        <f t="shared" si="14"/>
        <v>0</v>
      </c>
      <c r="G135" s="88">
        <f t="shared" si="19"/>
        <v>0</v>
      </c>
      <c r="H135" s="88"/>
      <c r="I135" s="88">
        <f t="shared" si="20"/>
        <v>0</v>
      </c>
      <c r="J135" s="88">
        <f t="shared" si="21"/>
        <v>0</v>
      </c>
      <c r="K135" s="89"/>
    </row>
    <row r="136" spans="1:11" x14ac:dyDescent="0.3">
      <c r="A136" s="98">
        <f t="shared" si="12"/>
        <v>120</v>
      </c>
      <c r="B136" s="93">
        <f t="shared" si="17"/>
        <v>3620</v>
      </c>
      <c r="C136" s="94">
        <f t="shared" si="13"/>
        <v>0</v>
      </c>
      <c r="D136" s="95">
        <f t="shared" si="15"/>
        <v>0</v>
      </c>
      <c r="E136" s="95">
        <f t="shared" si="18"/>
        <v>0</v>
      </c>
      <c r="F136" s="95">
        <f t="shared" si="14"/>
        <v>0</v>
      </c>
      <c r="G136" s="95">
        <f t="shared" si="19"/>
        <v>0</v>
      </c>
      <c r="H136" s="95">
        <f>G136</f>
        <v>0</v>
      </c>
      <c r="I136" s="95">
        <f t="shared" si="20"/>
        <v>0</v>
      </c>
      <c r="J136" s="95">
        <f t="shared" si="21"/>
        <v>0</v>
      </c>
      <c r="K136" s="97">
        <v>10</v>
      </c>
    </row>
    <row r="137" spans="1:11" x14ac:dyDescent="0.3">
      <c r="A137" s="85">
        <f t="shared" si="12"/>
        <v>121</v>
      </c>
      <c r="B137" s="86">
        <f t="shared" si="17"/>
        <v>3650</v>
      </c>
      <c r="C137" s="87">
        <f t="shared" si="13"/>
        <v>0</v>
      </c>
      <c r="D137" s="88">
        <f t="shared" si="15"/>
        <v>0</v>
      </c>
      <c r="E137" s="88">
        <f t="shared" si="18"/>
        <v>0</v>
      </c>
      <c r="F137" s="88">
        <f t="shared" si="14"/>
        <v>0</v>
      </c>
      <c r="G137" s="88">
        <f t="shared" si="19"/>
        <v>0</v>
      </c>
      <c r="H137" s="88"/>
      <c r="I137" s="88">
        <f t="shared" si="20"/>
        <v>0</v>
      </c>
      <c r="J137" s="88">
        <f t="shared" si="21"/>
        <v>0</v>
      </c>
      <c r="K137" s="89"/>
    </row>
    <row r="138" spans="1:11" x14ac:dyDescent="0.3">
      <c r="A138" s="85">
        <f t="shared" si="12"/>
        <v>122</v>
      </c>
      <c r="B138" s="86">
        <f t="shared" si="17"/>
        <v>3681</v>
      </c>
      <c r="C138" s="87">
        <f t="shared" si="13"/>
        <v>0</v>
      </c>
      <c r="D138" s="88">
        <f t="shared" si="15"/>
        <v>0</v>
      </c>
      <c r="E138" s="88">
        <f t="shared" si="18"/>
        <v>0</v>
      </c>
      <c r="F138" s="88">
        <f t="shared" si="14"/>
        <v>0</v>
      </c>
      <c r="G138" s="88">
        <f t="shared" si="19"/>
        <v>0</v>
      </c>
      <c r="H138" s="88"/>
      <c r="I138" s="88">
        <f t="shared" si="20"/>
        <v>0</v>
      </c>
      <c r="J138" s="88">
        <f t="shared" si="21"/>
        <v>0</v>
      </c>
      <c r="K138" s="89"/>
    </row>
    <row r="139" spans="1:11" x14ac:dyDescent="0.3">
      <c r="A139" s="85">
        <f t="shared" si="12"/>
        <v>123</v>
      </c>
      <c r="B139" s="86">
        <f t="shared" si="17"/>
        <v>3712</v>
      </c>
      <c r="C139" s="87">
        <f t="shared" si="13"/>
        <v>0</v>
      </c>
      <c r="D139" s="88">
        <f t="shared" si="15"/>
        <v>0</v>
      </c>
      <c r="E139" s="88">
        <f t="shared" si="18"/>
        <v>0</v>
      </c>
      <c r="F139" s="88">
        <f t="shared" si="14"/>
        <v>0</v>
      </c>
      <c r="G139" s="88">
        <f t="shared" si="19"/>
        <v>0</v>
      </c>
      <c r="H139" s="88"/>
      <c r="I139" s="88">
        <f t="shared" si="20"/>
        <v>0</v>
      </c>
      <c r="J139" s="88">
        <f t="shared" si="21"/>
        <v>0</v>
      </c>
      <c r="K139" s="89"/>
    </row>
    <row r="140" spans="1:11" x14ac:dyDescent="0.3">
      <c r="A140" s="85">
        <f t="shared" si="12"/>
        <v>124</v>
      </c>
      <c r="B140" s="86">
        <f t="shared" si="17"/>
        <v>3740</v>
      </c>
      <c r="C140" s="87">
        <f t="shared" si="13"/>
        <v>0</v>
      </c>
      <c r="D140" s="88">
        <f t="shared" si="15"/>
        <v>0</v>
      </c>
      <c r="E140" s="88">
        <f t="shared" si="18"/>
        <v>0</v>
      </c>
      <c r="F140" s="88">
        <f t="shared" si="14"/>
        <v>0</v>
      </c>
      <c r="G140" s="88">
        <f t="shared" si="19"/>
        <v>0</v>
      </c>
      <c r="H140" s="88"/>
      <c r="I140" s="88">
        <f t="shared" si="20"/>
        <v>0</v>
      </c>
      <c r="J140" s="88">
        <f t="shared" si="21"/>
        <v>0</v>
      </c>
      <c r="K140" s="89"/>
    </row>
    <row r="141" spans="1:11" x14ac:dyDescent="0.3">
      <c r="A141" s="85">
        <f t="shared" si="12"/>
        <v>125</v>
      </c>
      <c r="B141" s="86">
        <f t="shared" si="17"/>
        <v>3771</v>
      </c>
      <c r="C141" s="87">
        <f t="shared" si="13"/>
        <v>0</v>
      </c>
      <c r="D141" s="88">
        <f t="shared" si="15"/>
        <v>0</v>
      </c>
      <c r="E141" s="88">
        <f t="shared" si="18"/>
        <v>0</v>
      </c>
      <c r="F141" s="88">
        <f t="shared" si="14"/>
        <v>0</v>
      </c>
      <c r="G141" s="88">
        <f t="shared" si="19"/>
        <v>0</v>
      </c>
      <c r="H141" s="88"/>
      <c r="I141" s="88">
        <f t="shared" si="20"/>
        <v>0</v>
      </c>
      <c r="J141" s="88">
        <f t="shared" si="21"/>
        <v>0</v>
      </c>
      <c r="K141" s="89"/>
    </row>
    <row r="142" spans="1:11" x14ac:dyDescent="0.3">
      <c r="A142" s="85">
        <f t="shared" ref="A142:A148" si="22">A141+1</f>
        <v>126</v>
      </c>
      <c r="B142" s="86">
        <f t="shared" si="17"/>
        <v>3801</v>
      </c>
      <c r="C142" s="87">
        <f t="shared" ref="C142:C148" si="23">C141</f>
        <v>0</v>
      </c>
      <c r="D142" s="88">
        <f t="shared" si="15"/>
        <v>0</v>
      </c>
      <c r="E142" s="88">
        <f t="shared" si="18"/>
        <v>0</v>
      </c>
      <c r="F142" s="88">
        <f t="shared" si="14"/>
        <v>0</v>
      </c>
      <c r="G142" s="88">
        <f t="shared" si="19"/>
        <v>0</v>
      </c>
      <c r="H142" s="88"/>
      <c r="I142" s="88">
        <f t="shared" si="20"/>
        <v>0</v>
      </c>
      <c r="J142" s="88">
        <f t="shared" si="21"/>
        <v>0</v>
      </c>
      <c r="K142" s="89"/>
    </row>
    <row r="143" spans="1:11" x14ac:dyDescent="0.3">
      <c r="A143" s="85">
        <f t="shared" si="22"/>
        <v>127</v>
      </c>
      <c r="B143" s="86">
        <f t="shared" si="17"/>
        <v>3832</v>
      </c>
      <c r="C143" s="87">
        <f t="shared" si="23"/>
        <v>0</v>
      </c>
      <c r="D143" s="88">
        <f t="shared" si="15"/>
        <v>0</v>
      </c>
      <c r="E143" s="88">
        <f t="shared" si="18"/>
        <v>0</v>
      </c>
      <c r="F143" s="88">
        <f t="shared" si="14"/>
        <v>0</v>
      </c>
      <c r="G143" s="88">
        <f t="shared" si="19"/>
        <v>0</v>
      </c>
      <c r="H143" s="88"/>
      <c r="I143" s="88">
        <f t="shared" si="20"/>
        <v>0</v>
      </c>
      <c r="J143" s="88">
        <f t="shared" si="21"/>
        <v>0</v>
      </c>
      <c r="K143" s="89"/>
    </row>
    <row r="144" spans="1:11" x14ac:dyDescent="0.3">
      <c r="A144" s="85">
        <f t="shared" si="22"/>
        <v>128</v>
      </c>
      <c r="B144" s="86">
        <f t="shared" si="17"/>
        <v>3862</v>
      </c>
      <c r="C144" s="87">
        <f t="shared" si="23"/>
        <v>0</v>
      </c>
      <c r="D144" s="88">
        <f t="shared" si="15"/>
        <v>0</v>
      </c>
      <c r="E144" s="88">
        <f t="shared" si="18"/>
        <v>0</v>
      </c>
      <c r="F144" s="88">
        <f t="shared" si="14"/>
        <v>0</v>
      </c>
      <c r="G144" s="88">
        <f t="shared" si="19"/>
        <v>0</v>
      </c>
      <c r="H144" s="88"/>
      <c r="I144" s="88">
        <f t="shared" si="20"/>
        <v>0</v>
      </c>
      <c r="J144" s="88">
        <f t="shared" si="21"/>
        <v>0</v>
      </c>
      <c r="K144" s="89"/>
    </row>
    <row r="145" spans="1:11" x14ac:dyDescent="0.3">
      <c r="A145" s="85">
        <f t="shared" si="22"/>
        <v>129</v>
      </c>
      <c r="B145" s="86">
        <f t="shared" si="17"/>
        <v>3893</v>
      </c>
      <c r="C145" s="87">
        <f t="shared" si="23"/>
        <v>0</v>
      </c>
      <c r="D145" s="88">
        <f t="shared" si="15"/>
        <v>0</v>
      </c>
      <c r="E145" s="88">
        <f t="shared" si="18"/>
        <v>0</v>
      </c>
      <c r="F145" s="88">
        <f t="shared" ref="F145:F148" si="24">D145-E145</f>
        <v>0</v>
      </c>
      <c r="G145" s="88">
        <f t="shared" si="19"/>
        <v>0</v>
      </c>
      <c r="H145" s="88"/>
      <c r="I145" s="88">
        <f t="shared" si="20"/>
        <v>0</v>
      </c>
      <c r="J145" s="88">
        <f t="shared" si="21"/>
        <v>0</v>
      </c>
      <c r="K145" s="89"/>
    </row>
    <row r="146" spans="1:11" x14ac:dyDescent="0.3">
      <c r="A146" s="85">
        <f t="shared" si="22"/>
        <v>130</v>
      </c>
      <c r="B146" s="86">
        <f t="shared" si="17"/>
        <v>3924</v>
      </c>
      <c r="C146" s="87">
        <f t="shared" si="23"/>
        <v>0</v>
      </c>
      <c r="D146" s="88">
        <f t="shared" ref="D146:D148" si="25">IF(OR($D$4=0,$D$6=0,$D$7=0),0,IF(A146&lt;=$D$13,E146,(-PMT($D$7/12,$D$6,$D$4))))</f>
        <v>0</v>
      </c>
      <c r="E146" s="88">
        <f t="shared" si="18"/>
        <v>0</v>
      </c>
      <c r="F146" s="88">
        <f t="shared" si="24"/>
        <v>0</v>
      </c>
      <c r="G146" s="88">
        <f t="shared" si="19"/>
        <v>0</v>
      </c>
      <c r="H146" s="88"/>
      <c r="I146" s="88">
        <f t="shared" si="20"/>
        <v>0</v>
      </c>
      <c r="J146" s="88">
        <f t="shared" si="21"/>
        <v>0</v>
      </c>
      <c r="K146" s="89"/>
    </row>
    <row r="147" spans="1:11" x14ac:dyDescent="0.3">
      <c r="A147" s="85">
        <f t="shared" si="22"/>
        <v>131</v>
      </c>
      <c r="B147" s="86">
        <f t="shared" ref="B147:B148" si="26">EDATE(B146,1)</f>
        <v>3954</v>
      </c>
      <c r="C147" s="87">
        <f t="shared" si="23"/>
        <v>0</v>
      </c>
      <c r="D147" s="88">
        <f t="shared" si="25"/>
        <v>0</v>
      </c>
      <c r="E147" s="88">
        <f t="shared" si="18"/>
        <v>0</v>
      </c>
      <c r="F147" s="88">
        <f t="shared" si="24"/>
        <v>0</v>
      </c>
      <c r="G147" s="88">
        <f t="shared" si="19"/>
        <v>0</v>
      </c>
      <c r="H147" s="88"/>
      <c r="I147" s="88">
        <f t="shared" si="20"/>
        <v>0</v>
      </c>
      <c r="J147" s="88">
        <f t="shared" si="21"/>
        <v>0</v>
      </c>
      <c r="K147" s="89"/>
    </row>
    <row r="148" spans="1:11" x14ac:dyDescent="0.3">
      <c r="A148" s="92">
        <f t="shared" si="22"/>
        <v>132</v>
      </c>
      <c r="B148" s="93">
        <f t="shared" si="26"/>
        <v>3985</v>
      </c>
      <c r="C148" s="94">
        <f t="shared" si="23"/>
        <v>0</v>
      </c>
      <c r="D148" s="95">
        <f t="shared" si="25"/>
        <v>0</v>
      </c>
      <c r="E148" s="95">
        <f t="shared" si="18"/>
        <v>0</v>
      </c>
      <c r="F148" s="95">
        <f t="shared" si="24"/>
        <v>0</v>
      </c>
      <c r="G148" s="95">
        <f t="shared" si="19"/>
        <v>0</v>
      </c>
      <c r="H148" s="95">
        <f>G148</f>
        <v>0</v>
      </c>
      <c r="I148" s="95">
        <f t="shared" si="20"/>
        <v>0</v>
      </c>
      <c r="J148" s="95">
        <f t="shared" si="21"/>
        <v>0</v>
      </c>
      <c r="K148" s="97">
        <v>11</v>
      </c>
    </row>
    <row r="149" spans="1:11" x14ac:dyDescent="0.3">
      <c r="A149" s="77"/>
      <c r="B149" s="75"/>
      <c r="C149" s="75"/>
      <c r="D149" s="75"/>
      <c r="E149" s="75"/>
      <c r="F149" s="75"/>
      <c r="G149" s="75"/>
      <c r="H149" s="75"/>
      <c r="I149" s="75"/>
      <c r="J149" s="75"/>
      <c r="K149" s="77"/>
    </row>
    <row r="150" spans="1:11" x14ac:dyDescent="0.3">
      <c r="A150" s="77"/>
      <c r="B150" s="75"/>
      <c r="C150" s="75"/>
      <c r="D150" s="75"/>
      <c r="E150" s="75"/>
      <c r="F150" s="75"/>
      <c r="G150" s="75"/>
      <c r="H150" s="75"/>
      <c r="I150" s="75"/>
      <c r="J150" s="75"/>
      <c r="K150" s="77"/>
    </row>
    <row r="151" spans="1:11" x14ac:dyDescent="0.3">
      <c r="A151" s="77"/>
      <c r="B151" s="75"/>
      <c r="C151" s="75"/>
      <c r="D151" s="75"/>
      <c r="E151" s="75"/>
      <c r="F151" s="75"/>
      <c r="G151" s="75"/>
      <c r="H151" s="75"/>
      <c r="I151" s="75"/>
      <c r="J151" s="75"/>
      <c r="K151" s="77"/>
    </row>
    <row r="152" spans="1:11" x14ac:dyDescent="0.3">
      <c r="A152" s="77"/>
      <c r="B152" s="75"/>
      <c r="C152" s="75"/>
      <c r="D152" s="75"/>
      <c r="E152" s="75"/>
      <c r="F152" s="75"/>
      <c r="G152" s="75"/>
      <c r="H152" s="75"/>
      <c r="I152" s="75"/>
      <c r="J152" s="75"/>
      <c r="K152" s="77"/>
    </row>
    <row r="153" spans="1:11" x14ac:dyDescent="0.3">
      <c r="A153" s="77"/>
      <c r="B153" s="75"/>
      <c r="C153" s="75"/>
      <c r="D153" s="75"/>
      <c r="E153" s="75"/>
      <c r="F153" s="75"/>
      <c r="G153" s="75"/>
      <c r="H153" s="75"/>
      <c r="I153" s="75"/>
      <c r="J153" s="75"/>
      <c r="K153" s="77"/>
    </row>
    <row r="154" spans="1:11" x14ac:dyDescent="0.3">
      <c r="A154" s="77"/>
      <c r="B154" s="75"/>
      <c r="C154" s="75"/>
      <c r="D154" s="75"/>
      <c r="E154" s="75"/>
      <c r="F154" s="75"/>
      <c r="G154" s="75"/>
      <c r="H154" s="75"/>
      <c r="I154" s="75"/>
      <c r="J154" s="75"/>
      <c r="K154" s="77"/>
    </row>
    <row r="155" spans="1:11" x14ac:dyDescent="0.3">
      <c r="A155" s="77"/>
      <c r="B155" s="75"/>
      <c r="C155" s="75"/>
      <c r="D155" s="75"/>
      <c r="E155" s="75"/>
      <c r="F155" s="75"/>
      <c r="G155" s="75"/>
      <c r="H155" s="75"/>
      <c r="I155" s="75"/>
      <c r="J155" s="75"/>
      <c r="K155" s="77"/>
    </row>
    <row r="156" spans="1:11" x14ac:dyDescent="0.3">
      <c r="A156" s="77"/>
      <c r="B156" s="75"/>
      <c r="C156" s="75"/>
      <c r="D156" s="75"/>
      <c r="E156" s="75"/>
      <c r="F156" s="75"/>
      <c r="G156" s="75"/>
      <c r="H156" s="75"/>
      <c r="I156" s="75"/>
      <c r="J156" s="75"/>
      <c r="K156" s="77"/>
    </row>
    <row r="157" spans="1:11" x14ac:dyDescent="0.3">
      <c r="A157" s="77"/>
      <c r="B157" s="75"/>
      <c r="C157" s="75"/>
      <c r="D157" s="75"/>
      <c r="E157" s="75"/>
      <c r="F157" s="75"/>
      <c r="G157" s="75"/>
      <c r="H157" s="75"/>
      <c r="I157" s="75"/>
      <c r="J157" s="75"/>
      <c r="K157" s="77"/>
    </row>
    <row r="158" spans="1:11" x14ac:dyDescent="0.3">
      <c r="A158" s="77"/>
      <c r="B158" s="75"/>
      <c r="C158" s="75"/>
      <c r="D158" s="75"/>
      <c r="E158" s="75"/>
      <c r="F158" s="75"/>
      <c r="G158" s="75"/>
      <c r="H158" s="75"/>
      <c r="I158" s="75"/>
      <c r="J158" s="75"/>
      <c r="K158" s="77"/>
    </row>
    <row r="159" spans="1:11" x14ac:dyDescent="0.3">
      <c r="A159" s="77"/>
      <c r="B159" s="75"/>
      <c r="C159" s="75"/>
      <c r="D159" s="75"/>
      <c r="E159" s="75"/>
      <c r="F159" s="75"/>
      <c r="G159" s="75"/>
      <c r="H159" s="75"/>
      <c r="I159" s="75"/>
      <c r="J159" s="75"/>
      <c r="K159" s="77"/>
    </row>
    <row r="160" spans="1:11" x14ac:dyDescent="0.3">
      <c r="A160" s="77"/>
      <c r="B160" s="75"/>
      <c r="C160" s="75"/>
      <c r="D160" s="75"/>
      <c r="E160" s="75"/>
      <c r="F160" s="75"/>
      <c r="G160" s="75"/>
      <c r="H160" s="75"/>
      <c r="I160" s="75"/>
      <c r="J160" s="75"/>
      <c r="K160" s="77"/>
    </row>
    <row r="161" spans="1:11" x14ac:dyDescent="0.3">
      <c r="A161" s="77"/>
      <c r="B161" s="75"/>
      <c r="C161" s="75"/>
      <c r="D161" s="75"/>
      <c r="E161" s="75"/>
      <c r="F161" s="75"/>
      <c r="G161" s="75"/>
      <c r="H161" s="75"/>
      <c r="I161" s="75"/>
      <c r="J161" s="75"/>
      <c r="K161" s="77"/>
    </row>
    <row r="162" spans="1:11" x14ac:dyDescent="0.3">
      <c r="A162" s="77"/>
      <c r="B162" s="75"/>
      <c r="C162" s="75"/>
      <c r="D162" s="75"/>
      <c r="E162" s="75"/>
      <c r="F162" s="75"/>
      <c r="G162" s="75"/>
      <c r="H162" s="75"/>
      <c r="I162" s="75"/>
      <c r="J162" s="75"/>
      <c r="K162" s="77"/>
    </row>
    <row r="163" spans="1:11" x14ac:dyDescent="0.3">
      <c r="A163" s="77"/>
      <c r="B163" s="75"/>
      <c r="C163" s="75"/>
      <c r="D163" s="75"/>
      <c r="E163" s="75"/>
      <c r="F163" s="75"/>
      <c r="G163" s="75"/>
      <c r="H163" s="75"/>
      <c r="I163" s="75"/>
      <c r="J163" s="75"/>
      <c r="K163" s="77"/>
    </row>
    <row r="164" spans="1:11" x14ac:dyDescent="0.3">
      <c r="A164" s="77"/>
      <c r="B164" s="75"/>
      <c r="C164" s="75"/>
      <c r="D164" s="75"/>
      <c r="E164" s="75"/>
      <c r="F164" s="75"/>
      <c r="G164" s="75"/>
      <c r="H164" s="75"/>
      <c r="I164" s="75"/>
      <c r="J164" s="75"/>
      <c r="K164" s="77"/>
    </row>
    <row r="165" spans="1:11" x14ac:dyDescent="0.3">
      <c r="A165" s="77"/>
      <c r="B165" s="75"/>
      <c r="C165" s="75"/>
      <c r="D165" s="75"/>
      <c r="E165" s="75"/>
      <c r="F165" s="75"/>
      <c r="G165" s="75"/>
      <c r="H165" s="75"/>
      <c r="I165" s="75"/>
      <c r="J165" s="75"/>
      <c r="K165" s="77"/>
    </row>
    <row r="166" spans="1:11" x14ac:dyDescent="0.3">
      <c r="A166" s="77"/>
      <c r="B166" s="75"/>
      <c r="C166" s="75"/>
      <c r="D166" s="75"/>
      <c r="E166" s="75"/>
      <c r="F166" s="75"/>
      <c r="G166" s="75"/>
      <c r="H166" s="75"/>
      <c r="I166" s="75"/>
      <c r="J166" s="75"/>
      <c r="K166" s="77"/>
    </row>
    <row r="167" spans="1:11" x14ac:dyDescent="0.3">
      <c r="A167" s="77"/>
      <c r="B167" s="75"/>
      <c r="C167" s="75"/>
      <c r="D167" s="75"/>
      <c r="E167" s="75"/>
      <c r="F167" s="75"/>
      <c r="G167" s="75"/>
      <c r="H167" s="75"/>
      <c r="I167" s="75"/>
      <c r="J167" s="75"/>
      <c r="K167" s="77"/>
    </row>
    <row r="168" spans="1:11" x14ac:dyDescent="0.3">
      <c r="A168" s="77"/>
      <c r="B168" s="75"/>
      <c r="C168" s="75"/>
      <c r="D168" s="75"/>
      <c r="E168" s="75"/>
      <c r="F168" s="75"/>
      <c r="G168" s="75"/>
      <c r="H168" s="75"/>
      <c r="I168" s="75"/>
      <c r="J168" s="75"/>
      <c r="K168" s="77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54923232A7B7B4F88B6C1C69D7284FE" ma:contentTypeVersion="10" ma:contentTypeDescription="Create a new document." ma:contentTypeScope="" ma:versionID="e09b4b200af69531129225a1f2057bf5">
  <xsd:schema xmlns:xsd="http://www.w3.org/2001/XMLSchema" xmlns:xs="http://www.w3.org/2001/XMLSchema" xmlns:p="http://schemas.microsoft.com/office/2006/metadata/properties" xmlns:ns3="d4ece01c-e976-44b7-8a74-845bae6be514" xmlns:ns4="822e27b8-39a7-4d5b-af63-4c83d6421331" targetNamespace="http://schemas.microsoft.com/office/2006/metadata/properties" ma:root="true" ma:fieldsID="059f639ca8bae27ee2104465b69d3a44" ns3:_="" ns4:_="">
    <xsd:import namespace="d4ece01c-e976-44b7-8a74-845bae6be514"/>
    <xsd:import namespace="822e27b8-39a7-4d5b-af63-4c83d6421331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LengthInSeconds" minOccurs="0"/>
                <xsd:element ref="ns4:MediaServiceAutoTags" minOccurs="0"/>
                <xsd:element ref="ns4:MediaServiceObjectDetectorVersions" minOccurs="0"/>
                <xsd:element ref="ns4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ece01c-e976-44b7-8a74-845bae6be51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2e27b8-39a7-4d5b-af63-4c83d642133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7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22e27b8-39a7-4d5b-af63-4c83d6421331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D60A74E-33B6-4707-A330-3AED129CA0D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4ece01c-e976-44b7-8a74-845bae6be514"/>
    <ds:schemaRef ds:uri="822e27b8-39a7-4d5b-af63-4c83d642133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11969C7-8BB1-4D4C-8179-DC96CFF9C26A}">
  <ds:schemaRefs>
    <ds:schemaRef ds:uri="http://purl.org/dc/elements/1.1/"/>
    <ds:schemaRef ds:uri="http://schemas.openxmlformats.org/package/2006/metadata/core-properties"/>
    <ds:schemaRef ds:uri="http://www.w3.org/XML/1998/namespace"/>
    <ds:schemaRef ds:uri="d4ece01c-e976-44b7-8a74-845bae6be514"/>
    <ds:schemaRef ds:uri="http://schemas.microsoft.com/office/2006/documentManagement/types"/>
    <ds:schemaRef ds:uri="http://purl.org/dc/dcmitype/"/>
    <ds:schemaRef ds:uri="http://schemas.microsoft.com/office/2006/metadata/properties"/>
    <ds:schemaRef ds:uri="http://schemas.microsoft.com/office/infopath/2007/PartnerControls"/>
    <ds:schemaRef ds:uri="822e27b8-39a7-4d5b-af63-4c83d6421331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5A700C19-42A7-4B92-986D-2AA9B71CB0B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Property Model</vt:lpstr>
      <vt:lpstr>Unit Mix</vt:lpstr>
      <vt:lpstr>Utility Allowances</vt:lpstr>
      <vt:lpstr>Rent Limits</vt:lpstr>
      <vt:lpstr>First Mortgage</vt:lpstr>
      <vt:lpstr>'Property Model'!Print_Area</vt:lpstr>
      <vt:lpstr>'Property Model'!Print_Titles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Rachel Robinson</dc:creator>
  <cp:lastModifiedBy>Crystal King</cp:lastModifiedBy>
  <cp:lastPrinted>2024-10-11T22:38:40Z</cp:lastPrinted>
  <dcterms:created xsi:type="dcterms:W3CDTF">2018-07-10T15:40:00Z</dcterms:created>
  <dcterms:modified xsi:type="dcterms:W3CDTF">2025-10-08T18:24:01Z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0x010100154923232A7B7B4F88B6C1C69D7284FE</vt:lpwstr>
  </property>
</Properties>
</file>