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8.xml" ContentType="application/vnd.openxmlformats-officedocument.spreadsheetml.comments+xml"/>
  <Override PartName="/xl/charts/chart1.xml" ContentType="application/vnd.openxmlformats-officedocument.drawingml.chart+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https://gmhfmn-my.sharepoint.com/personal/alancaster_gmhf_com/Documents/Documents/"/>
    </mc:Choice>
  </mc:AlternateContent>
  <xr:revisionPtr revIDLastSave="0" documentId="8_{641C57F5-465C-466D-B531-5D13B05834F4}" xr6:coauthVersionLast="47" xr6:coauthVersionMax="47" xr10:uidLastSave="{00000000-0000-0000-0000-000000000000}"/>
  <bookViews>
    <workbookView xWindow="28680" yWindow="-180" windowWidth="29040" windowHeight="15720" tabRatio="723" firstSheet="1" activeTab="1" xr2:uid="{00000000-000D-0000-FFFF-FFFF00000000}"/>
  </bookViews>
  <sheets>
    <sheet name="Change Log" sheetId="10" state="hidden" r:id="rId1"/>
    <sheet name="Summary" sheetId="1" r:id="rId2"/>
    <sheet name="Housing Income" sheetId="19" r:id="rId3"/>
    <sheet name="Inc &amp; Exp" sheetId="20" r:id="rId4"/>
    <sheet name="Dev Costs" sheetId="22" r:id="rId5"/>
    <sheet name="Sources &amp; Loan Sizing" sheetId="24" r:id="rId6"/>
    <sheet name="Cash Flow" sheetId="4" r:id="rId7"/>
    <sheet name="Refi Analysis" sheetId="11" state="hidden" r:id="rId8"/>
    <sheet name="Draw Schedule" sheetId="25" r:id="rId9"/>
    <sheet name="Reserves" sheetId="6" state="hidden" r:id="rId10"/>
    <sheet name="Stress Test" sheetId="5" state="hidden" r:id="rId11"/>
    <sheet name="Predevelopment" sheetId="29" state="hidden" r:id="rId12"/>
    <sheet name="Sponsor Financials" sheetId="26" state="hidden" r:id="rId13"/>
    <sheet name="Amortization Schedule" sheetId="7" r:id="rId14"/>
    <sheet name="CMF Input Sheet" sheetId="27" state="hidden" r:id="rId15"/>
    <sheet name="Mail Merge" sheetId="28" state="hidden" r:id="rId16"/>
    <sheet name="Comparison" sheetId="8" state="hidden" r:id="rId17"/>
    <sheet name="Lists" sheetId="9" state="hidden" r:id="rId18"/>
    <sheet name="MTSP2025" sheetId="18" state="hidden" r:id="rId19"/>
  </sheets>
  <externalReferences>
    <externalReference r:id="rId20"/>
    <externalReference r:id="rId21"/>
  </externalReferences>
  <definedNames>
    <definedName name="_Fill" localSheetId="14" hidden="1">#REF!</definedName>
    <definedName name="_Fill" localSheetId="8" hidden="1">#REF!</definedName>
    <definedName name="_Fill" localSheetId="11" hidden="1">#REF!</definedName>
    <definedName name="_Fill" localSheetId="9" hidden="1">#REF!</definedName>
    <definedName name="_Fill" localSheetId="10" hidden="1">#REF!</definedName>
    <definedName name="_Fill" hidden="1">#REF!</definedName>
    <definedName name="_fill2" localSheetId="14" hidden="1">#REF!</definedName>
    <definedName name="_fill2" localSheetId="8" hidden="1">#REF!</definedName>
    <definedName name="_fill2" localSheetId="11" hidden="1">#REF!</definedName>
    <definedName name="_fill2" localSheetId="9" hidden="1">#REF!</definedName>
    <definedName name="_fill2" localSheetId="10" hidden="1">#REF!</definedName>
    <definedName name="_fill2" hidden="1">#REF!</definedName>
    <definedName name="_fill3" localSheetId="14" hidden="1">#REF!</definedName>
    <definedName name="_fill3" localSheetId="8" hidden="1">#REF!</definedName>
    <definedName name="_fill3" localSheetId="11" hidden="1">#REF!</definedName>
    <definedName name="_fill3" localSheetId="9" hidden="1">#REF!</definedName>
    <definedName name="_fill3" localSheetId="10" hidden="1">#REF!</definedName>
    <definedName name="_fill3" hidden="1">#REF!</definedName>
    <definedName name="_jj1">#REF!</definedName>
    <definedName name="_jj2">#REF!</definedName>
    <definedName name="_jj3">#REF!</definedName>
    <definedName name="_jj4">#REF!</definedName>
    <definedName name="_jj5">#REF!</definedName>
    <definedName name="_jj6">#REF!</definedName>
    <definedName name="_Key1" localSheetId="8" hidden="1">#REF!</definedName>
    <definedName name="_Key1" localSheetId="11" hidden="1">#REF!</definedName>
    <definedName name="_Key1" localSheetId="9" hidden="1">#REF!</definedName>
    <definedName name="_Key1" localSheetId="10" hidden="1">#REF!</definedName>
    <definedName name="_Key1" hidden="1">#REF!</definedName>
    <definedName name="_Key12" localSheetId="8" hidden="1">#REF!</definedName>
    <definedName name="_Key12" localSheetId="11" hidden="1">#REF!</definedName>
    <definedName name="_Key12" localSheetId="9" hidden="1">#REF!</definedName>
    <definedName name="_Key12" localSheetId="10" hidden="1">#REF!</definedName>
    <definedName name="_Key12" hidden="1">#REF!</definedName>
    <definedName name="_mm1">#REF!</definedName>
    <definedName name="_mm10">#REF!</definedName>
    <definedName name="_mm11">#REF!</definedName>
    <definedName name="_mm12">#REF!</definedName>
    <definedName name="_mm13">#REF!</definedName>
    <definedName name="_mm14">#REF!</definedName>
    <definedName name="_mm15">#REF!</definedName>
    <definedName name="_mm155">#REF!</definedName>
    <definedName name="_mm16">#REF!</definedName>
    <definedName name="_mm17">#REF!</definedName>
    <definedName name="_mm18">#REF!</definedName>
    <definedName name="_mm19">#REF!</definedName>
    <definedName name="_mm2">#REF!</definedName>
    <definedName name="_mm20">#REF!</definedName>
    <definedName name="_mm21">#REF!</definedName>
    <definedName name="_mm22">#REF!</definedName>
    <definedName name="_mm23">#REF!</definedName>
    <definedName name="_mm24">#REF!</definedName>
    <definedName name="_mm25">#REF!</definedName>
    <definedName name="_mm26">#REF!</definedName>
    <definedName name="_mm27">#REF!</definedName>
    <definedName name="_mm28">#REF!</definedName>
    <definedName name="_mm29">#REF!</definedName>
    <definedName name="_mm3">#REF!</definedName>
    <definedName name="_mm30">#REF!</definedName>
    <definedName name="_mm331">#REF!</definedName>
    <definedName name="_mm332">#REF!</definedName>
    <definedName name="_mm333">#REF!</definedName>
    <definedName name="_mm334">#REF!</definedName>
    <definedName name="_mm4">#REF!</definedName>
    <definedName name="_mm46">#REF!</definedName>
    <definedName name="_mm47">#REF!</definedName>
    <definedName name="_mm48">#REF!</definedName>
    <definedName name="_mm49">#REF!</definedName>
    <definedName name="_mm5">#REF!</definedName>
    <definedName name="_mm50">#REF!</definedName>
    <definedName name="_mm51">#REF!</definedName>
    <definedName name="_mm52">#REF!</definedName>
    <definedName name="_mm53">#REF!</definedName>
    <definedName name="_mm54">#REF!</definedName>
    <definedName name="_mm55">#REF!</definedName>
    <definedName name="_mm56">#REF!</definedName>
    <definedName name="_mm57">#REF!</definedName>
    <definedName name="_mm58">#REF!</definedName>
    <definedName name="_mm59">#REF!</definedName>
    <definedName name="_mm6">#REF!</definedName>
    <definedName name="_mm60">#REF!</definedName>
    <definedName name="_mm7">#REF!</definedName>
    <definedName name="_mm8">#REF!</definedName>
    <definedName name="_mm9">#REF!</definedName>
    <definedName name="_pp1">#REF!</definedName>
    <definedName name="_pp18">#REF!</definedName>
    <definedName name="_pp2">#REF!</definedName>
    <definedName name="_pp4">#REF!</definedName>
    <definedName name="_pp81">#REF!</definedName>
    <definedName name="_pp88">#REF!</definedName>
    <definedName name="_sb1">#REF!</definedName>
    <definedName name="_Sort" localSheetId="8" hidden="1">#REF!</definedName>
    <definedName name="_Sort" localSheetId="11" hidden="1">#REF!</definedName>
    <definedName name="_Sort" localSheetId="9" hidden="1">#REF!</definedName>
    <definedName name="_Sort" localSheetId="10" hidden="1">#REF!</definedName>
    <definedName name="_Sort" hidden="1">#REF!</definedName>
    <definedName name="_Sort2" localSheetId="8" hidden="1">#REF!</definedName>
    <definedName name="_Sort2" localSheetId="11" hidden="1">#REF!</definedName>
    <definedName name="_Sort2" localSheetId="9" hidden="1">#REF!</definedName>
    <definedName name="_Sort2" localSheetId="10" hidden="1">#REF!</definedName>
    <definedName name="_Sort2" hidden="1">#REF!</definedName>
    <definedName name="_UTC25000">#REF!</definedName>
    <definedName name="_xx141">#REF!</definedName>
    <definedName name="_xx142">#REF!</definedName>
    <definedName name="_xx33">#REF!</definedName>
    <definedName name="_xx34">#REF!</definedName>
    <definedName name="_xx82">#REF!</definedName>
    <definedName name="_xx83">#REF!</definedName>
    <definedName name="ActivityType">#REF!</definedName>
    <definedName name="AddBuildings1City">#REF!</definedName>
    <definedName name="AllocatorLookup">#REF!</definedName>
    <definedName name="AllocSubject">#REF!</definedName>
    <definedName name="AllTabsImageLookup">#REF!</definedName>
    <definedName name="AllTabsWidths">#REF!</definedName>
    <definedName name="Annual_interest_rate">#REF!</definedName>
    <definedName name="AppraisApprais">#REF!</definedName>
    <definedName name="AppraisArchite">#REF!</definedName>
    <definedName name="AppraisDevCons">#REF!</definedName>
    <definedName name="AppraisDevelop">#REF!</definedName>
    <definedName name="AppraisGenCon">#REF!</definedName>
    <definedName name="AppraisGeneralPart1">#REF!</definedName>
    <definedName name="AppraisGeneralPart2">#REF!</definedName>
    <definedName name="AppraisGeneralPart3">#REF!</definedName>
    <definedName name="AppraisManagem">#REF!</definedName>
    <definedName name="AppraisOwnerM">#REF!</definedName>
    <definedName name="AppraisProcess">#REF!</definedName>
    <definedName name="AppraisProject">#REF!</definedName>
    <definedName name="AppraisService">#REF!</definedName>
    <definedName name="AppraisTaxCred">#REF!</definedName>
    <definedName name="AppTypeLookup">#REF!</definedName>
    <definedName name="ArchiteArchite">#REF!</definedName>
    <definedName name="ArchitectCity">#REF!</definedName>
    <definedName name="ArchitectState">#REF!</definedName>
    <definedName name="ArchiteDevelop">#REF!</definedName>
    <definedName name="ArchiteOwnerM">#REF!</definedName>
    <definedName name="ArchiteProject">#REF!</definedName>
    <definedName name="ArchitGeneralPart1">#REF!</definedName>
    <definedName name="ArchitGeneralPart2">#REF!</definedName>
    <definedName name="ArchitGeneralPart3">#REF!</definedName>
    <definedName name="AttorneApprais">#REF!</definedName>
    <definedName name="AttorneArchite">#REF!</definedName>
    <definedName name="AttorneAttorne">#REF!</definedName>
    <definedName name="AttorneDevelop">#REF!</definedName>
    <definedName name="AttorneGeneral">#REF!</definedName>
    <definedName name="AttorneGeneralPart1">#REF!</definedName>
    <definedName name="AttorneGeneralPart2">#REF!</definedName>
    <definedName name="AttorneGeneralPart3">#REF!</definedName>
    <definedName name="AttorneManagem">#REF!</definedName>
    <definedName name="AttorneNonprof">#REF!</definedName>
    <definedName name="AttorneOwnerM">#REF!</definedName>
    <definedName name="AttorneProcess">#REF!</definedName>
    <definedName name="AttorneProject">#REF!</definedName>
    <definedName name="AttorneService">#REF!</definedName>
    <definedName name="AttorneTaxCred">#REF!</definedName>
    <definedName name="AttorneyCity">#REF!</definedName>
    <definedName name="AttorneyState">#REF!</definedName>
    <definedName name="AttrneyDevCons">#REF!</definedName>
    <definedName name="AvailableTabsAll">#REF!</definedName>
    <definedName name="Beg.Bal" localSheetId="15">IF(#REF!&lt;&gt;"",#REF!,"")</definedName>
    <definedName name="Beg.Bal">IF(#REF!&lt;&gt;"",#REF!,"")</definedName>
    <definedName name="BuildingsCity1">#N/A</definedName>
    <definedName name="BuildingsCity2">#REF!</definedName>
    <definedName name="BuildingsCity3">#REF!</definedName>
    <definedName name="BuildingsCity4">#REF!</definedName>
    <definedName name="BuildingsCounty1">#N/A</definedName>
    <definedName name="BuildingsCounty2">#REF!</definedName>
    <definedName name="BuildingsCounty3">#REF!</definedName>
    <definedName name="BuildingsCounty4">#REF!</definedName>
    <definedName name="Calculated_payment">#REF!</definedName>
    <definedName name="chkOther5Other5">"chkOther1Board"</definedName>
    <definedName name="chkPropertProject">"PropertProject"</definedName>
    <definedName name="CityLookUp">#REF!</definedName>
    <definedName name="com" comment="com is for comma, to help concatenate names">#REF!</definedName>
    <definedName name="CommonSpaceSqFt">#REF!</definedName>
    <definedName name="CommonSpaceUnits">#REF!</definedName>
    <definedName name="CommonSqFt">#REF!</definedName>
    <definedName name="CommonUnits">#REF!</definedName>
    <definedName name="ContOfCare">#REF!</definedName>
    <definedName name="ContributionLookup">#REF!</definedName>
    <definedName name="CountyLookup">#REF!</definedName>
    <definedName name="Cum.Interest">IF(#REF!&lt;&gt;"",#REF!+#REF!,"")</definedName>
    <definedName name="Cum.Payment">#REF!</definedName>
    <definedName name="Cum.Principal">#REF!</definedName>
    <definedName name="Cum.Pymt">#REF!</definedName>
    <definedName name="DataPath">#REF!</definedName>
    <definedName name="DetOfCredLimitWaivReq">#REF!</definedName>
    <definedName name="DetOfCrFundingGap">#REF!</definedName>
    <definedName name="DevConsArchite">#REF!</definedName>
    <definedName name="DevConsDevCons">#REF!</definedName>
    <definedName name="DevConsDevelop">#REF!</definedName>
    <definedName name="DevConsGeneralPart1">#REF!</definedName>
    <definedName name="DevConsGeneralPart2">#REF!</definedName>
    <definedName name="DevConsGeneralPart3">#REF!</definedName>
    <definedName name="DevConsManagem">#REF!</definedName>
    <definedName name="DevConsOwnerM">#REF!</definedName>
    <definedName name="DevConsProject">#REF!</definedName>
    <definedName name="DevConsService">#REF!</definedName>
    <definedName name="DevConsTaxCred">#REF!</definedName>
    <definedName name="DevCostsConstCostsConstrInt">#REF!</definedName>
    <definedName name="DevCostsConstCostsConstrTaxes">#REF!</definedName>
    <definedName name="DevCostsConstCostsHazIns">#REF!</definedName>
    <definedName name="DevCostsConstCostsMNHsgBridgeLoan">#REF!</definedName>
    <definedName name="DevCostsConstCostsMNHsgInspFee">#REF!</definedName>
    <definedName name="DevCostsConstCostsOrigFee">#REF!</definedName>
    <definedName name="DevCostsConstCostsOther1">#REF!</definedName>
    <definedName name="DevCostsConstCostsOtherInspFee">#REF!</definedName>
    <definedName name="DevCostsConstCostsRiskIns">#REF!</definedName>
    <definedName name="DevCostsContractorFeeTest">#REF!</definedName>
    <definedName name="DevCostsDevFeeConstRep">#REF!</definedName>
    <definedName name="DevCostsDevFeeDevFee">#REF!</definedName>
    <definedName name="DevCostsDevFeeOther1">#REF!</definedName>
    <definedName name="DevCostsDevFeeOtherConsFees">#REF!</definedName>
    <definedName name="DevCostsDevFeeProcAgent">#REF!</definedName>
    <definedName name="DevCostsFinCostsDCE">#REF!</definedName>
    <definedName name="DevCostsFinCostsMNHsgBondIns">#REF!</definedName>
    <definedName name="DevCostsFinCostsMortAppl">#REF!</definedName>
    <definedName name="DevCostsFinCostsMortIns">#REF!</definedName>
    <definedName name="DevCostsFinCostsMortOrig">#REF!</definedName>
    <definedName name="DevCostsFinCostsOther2">#REF!</definedName>
    <definedName name="DevCostsFinCostsOtherBondIns">#REF!</definedName>
    <definedName name="DevCostsFinCostsOtherOrig">#REF!</definedName>
    <definedName name="DevCostsFinCostsTitleRec">#REF!</definedName>
    <definedName name="DevCostsIdentityOfInterestTest">#REF!</definedName>
    <definedName name="DevCostsMortResLookUp" localSheetId="16">[1]DATA!$AN$16:$AN$20</definedName>
    <definedName name="DevCostsMortResLookUp" localSheetId="15">#REF!</definedName>
    <definedName name="DevCostsMortResLookUp">#REF!</definedName>
    <definedName name="DevCostsMortResOther1" localSheetId="15">#REF!</definedName>
    <definedName name="DevCostsMortResOther1">#REF!</definedName>
    <definedName name="DevCostsMortResOther2" localSheetId="15">#REF!</definedName>
    <definedName name="DevCostsMortResOther2">#REF!</definedName>
    <definedName name="DevCostsMortResOther3">#REF!</definedName>
    <definedName name="DevCostsProfFeesApraisFee">#REF!</definedName>
    <definedName name="DevCostsProfFeesArchFeeDesign">#REF!</definedName>
    <definedName name="DevCostsProfFeesArchFeeSuper">#REF!</definedName>
    <definedName name="DevCostsProfFeesArchReimb">#REF!</definedName>
    <definedName name="DevCostsProfFeesBuildPermit">#REF!</definedName>
    <definedName name="DevCostsProfFeesComplFees">#REF!</definedName>
    <definedName name="DevCostsProfFeesCostCert">#REF!</definedName>
    <definedName name="DevCostsProfFeesEnergyAudit">#REF!</definedName>
    <definedName name="DevCostsProfFeesEnergyCons">#REF!</definedName>
    <definedName name="DevCostsProfFeesEnvAssess">#REF!</definedName>
    <definedName name="DevCostsProfFeesFurnishings">#REF!</definedName>
    <definedName name="DevCostsProfFeesLegalFees">#REF!</definedName>
    <definedName name="DevCostsProfFeesLocalFees">#REF!</definedName>
    <definedName name="DevCostsProfFeesMktg">#REF!</definedName>
    <definedName name="DevCostsProfFeesMktStudy">#REF!</definedName>
    <definedName name="DevCostsProfFeesOther1">#REF!</definedName>
    <definedName name="DevCostsProfFeesOther2">#REF!</definedName>
    <definedName name="DevCostsProfFeesOther3">#REF!</definedName>
    <definedName name="DevCostsProfFeesOther4">#REF!</definedName>
    <definedName name="DevCostsProfFeesPayment">#REF!</definedName>
    <definedName name="DevCostsProfFeesRelocCosts">#REF!</definedName>
    <definedName name="DevCostsProfFeesSewerChg">#REF!</definedName>
    <definedName name="DevCostsProfFeesSoilBorings">#REF!</definedName>
    <definedName name="DevCostsProfFeesSurveys">#REF!</definedName>
    <definedName name="DevCostsProfFeesTaxCrFees">#REF!</definedName>
    <definedName name="DevCostsSyndFeesBridgeLoan">#REF!</definedName>
    <definedName name="DevCostsSyndFeesOrgFees">#REF!</definedName>
    <definedName name="DevCostsSyndFeesOtherFees">#REF!</definedName>
    <definedName name="DevCostsSyndFeesTaxOpinion">#REF!</definedName>
    <definedName name="DevelopDevelop">#REF!</definedName>
    <definedName name="DevelopProject">#REF!</definedName>
    <definedName name="DevTeamAppraiserCity">#REF!</definedName>
    <definedName name="DevTeamAppraiserState">#REF!</definedName>
    <definedName name="DevTeamArchitectCity">#REF!</definedName>
    <definedName name="DevTeamArchitectState">#REF!</definedName>
    <definedName name="DevTeamAttorneyCity">#REF!</definedName>
    <definedName name="DevTeamAttorneyState">#REF!</definedName>
    <definedName name="DevTeamDevConsCity">#REF!</definedName>
    <definedName name="DevTeamDevConsState">#REF!</definedName>
    <definedName name="DevTeamDeveloperCity">#REF!</definedName>
    <definedName name="DevTeamDeveloperState">#REF!</definedName>
    <definedName name="DevTeamGenContrCity">#REF!</definedName>
    <definedName name="DevTeamGenContrState">#REF!</definedName>
    <definedName name="DevTeamGenPart1City">#REF!</definedName>
    <definedName name="DevTeamGenPart1State">#REF!</definedName>
    <definedName name="DevTeamGenPart2City">#REF!</definedName>
    <definedName name="DevTeamGenPart2State">#REF!</definedName>
    <definedName name="DevTeamGenPart3City">#REF!</definedName>
    <definedName name="DevTeamGenPart3State">#REF!</definedName>
    <definedName name="DevTeamMgmtCoCity">#REF!</definedName>
    <definedName name="DevTeamMgmtCoState">#REF!</definedName>
    <definedName name="DevTeamMktStudyFirmCity">#REF!</definedName>
    <definedName name="DevTeamMktStudyFirmState">#REF!</definedName>
    <definedName name="DevTeamNonProfLesseeCity">#REF!</definedName>
    <definedName name="DevTeamNonProfLesseeState">#REF!</definedName>
    <definedName name="DevTeamOwnerMortCity">#REF!</definedName>
    <definedName name="DevTeamOwnerMortState">#REF!</definedName>
    <definedName name="DevTeamProcAgentCity">#REF!</definedName>
    <definedName name="DevTeamProcAgentState">#REF!</definedName>
    <definedName name="DevTeamProjSpnsCity">#REF!</definedName>
    <definedName name="DevTeamProjSpnsState">#REF!</definedName>
    <definedName name="DevTeamPropSellLessCity">#REF!</definedName>
    <definedName name="DevTeamPropSellLessState">#REF!</definedName>
    <definedName name="DevTeamRentAssistAdminCity">#REF!</definedName>
    <definedName name="DevTeamRentAssistAdminState">#REF!</definedName>
    <definedName name="DevTeamServProvCity">#REF!</definedName>
    <definedName name="DevTeamServProvState">#REF!</definedName>
    <definedName name="DevTeamTaxCrSyndCity">#REF!</definedName>
    <definedName name="DevTeamTaxCrSyndState">#REF!</definedName>
    <definedName name="Dollar_ranges">#REF!</definedName>
    <definedName name="Ending.Balance">IF(#REF!&lt;&gt;"",#REF!-#REF!,"")</definedName>
    <definedName name="Entered_payment">#REF!</definedName>
    <definedName name="EntityManagePropNo">#REF!</definedName>
    <definedName name="EntityManagePropYes">#REF!</definedName>
    <definedName name="EVHIGuide">#REF!</definedName>
    <definedName name="FederalSubsidyLookup">#REF!</definedName>
    <definedName name="First_payment_due">#REF!</definedName>
    <definedName name="First_payment_no">#REF!</definedName>
    <definedName name="FundingSource">#REF!</definedName>
    <definedName name="GenConArchite">#REF!</definedName>
    <definedName name="GenConDevCons">#REF!</definedName>
    <definedName name="GenConDevelop">#REF!</definedName>
    <definedName name="GenConGenCon">#REF!</definedName>
    <definedName name="GenConGeneralPart1">#REF!</definedName>
    <definedName name="GenConGeneralPart2">#REF!</definedName>
    <definedName name="GenConGeneralPart3">#REF!</definedName>
    <definedName name="GenConManagem">#REF!</definedName>
    <definedName name="GenConOwnerM">#REF!</definedName>
    <definedName name="GenConProcess">#REF!</definedName>
    <definedName name="GenConProject">#REF!</definedName>
    <definedName name="GenConService">#REF!</definedName>
    <definedName name="GenConTaxCred">#REF!</definedName>
    <definedName name="GeneralPart1Develop">#REF!</definedName>
    <definedName name="GeneralPart1General">#REF!</definedName>
    <definedName name="GeneralPart1OwnerM">#REF!</definedName>
    <definedName name="GeneralPart1Project">#REF!</definedName>
    <definedName name="GeneralPart2Develop">#REF!</definedName>
    <definedName name="GeneralPart2GeneralPart1">#REF!</definedName>
    <definedName name="GeneralPart2GeneralPart2">#REF!</definedName>
    <definedName name="GeneralPart2OwnerM">#REF!</definedName>
    <definedName name="GeneralPart2Project">#REF!</definedName>
    <definedName name="GeneralPart3Develop">#REF!</definedName>
    <definedName name="GeneralPart3GeneralPart1">#REF!</definedName>
    <definedName name="GeneralPart3GeneralPart2">#REF!</definedName>
    <definedName name="GeneralPart3GeneralPart3">#REF!</definedName>
    <definedName name="GeneralPart3OwnerM">#REF!</definedName>
    <definedName name="GeneralPart3Project">#REF!</definedName>
    <definedName name="ghsdg" localSheetId="16">[2]App!$B$307</definedName>
    <definedName name="ghsdg" localSheetId="15">#REF!</definedName>
    <definedName name="ghsdg">#REF!</definedName>
    <definedName name="GOBonds" localSheetId="15">#REF!</definedName>
    <definedName name="GOBonds">#REF!</definedName>
    <definedName name="HistoricPresPartILookup" localSheetId="15">#REF!</definedName>
    <definedName name="HistoricPresPartILookup">#REF!</definedName>
    <definedName name="HousIncNumUnitsRange">#REF!</definedName>
    <definedName name="HousIncomeTotUtil0BR_SRO">#REF!</definedName>
    <definedName name="HousIncomeTotUtil1BR">#REF!</definedName>
    <definedName name="HousIncomeTotUtil2BR">#REF!</definedName>
    <definedName name="HousIncomeTotUtil3BR">#REF!</definedName>
    <definedName name="HousIncomeTotUtil4BR">#REF!</definedName>
    <definedName name="HousIncomeTotUtil5BR">#REF!</definedName>
    <definedName name="HousIncomeTotUtil6BR">#REF!</definedName>
    <definedName name="HousIncomeTotUtilBed">#REF!</definedName>
    <definedName name="HousIncomeUnitTypeEmplOcc1">#REF!</definedName>
    <definedName name="HousIncomeUnitTypeEmplOcc10">#REF!</definedName>
    <definedName name="HousIncomeUnitTypeEmplOcc11">#REF!</definedName>
    <definedName name="HousIncomeUnitTypeEmplOcc12">#REF!</definedName>
    <definedName name="HousIncomeUnitTypeEmplOcc13">#REF!</definedName>
    <definedName name="HousIncomeUnitTypeEmplOcc14">#REF!</definedName>
    <definedName name="HousIncomeUnitTypeEmplOcc15">#REF!</definedName>
    <definedName name="HousIncomeUnitTypeEmplOcc16">#REF!</definedName>
    <definedName name="HousIncomeUnitTypeEmplOcc17">#REF!</definedName>
    <definedName name="HousIncomeUnitTypeEmplOcc18">#REF!</definedName>
    <definedName name="HousIncomeUnitTypeEmplOcc19">#REF!</definedName>
    <definedName name="HousIncomeUnitTypeEmplOcc2">#REF!</definedName>
    <definedName name="HousIncomeUnitTypeEmplOcc20">#REF!</definedName>
    <definedName name="HousIncomeUnitTypeEmplOcc21">#REF!</definedName>
    <definedName name="HousIncomeUnitTypeEmplOcc3">#REF!</definedName>
    <definedName name="HousIncomeUnitTypeEmplOcc4">#REF!</definedName>
    <definedName name="HousIncomeUnitTypeEmplOcc5">#REF!</definedName>
    <definedName name="HousIncomeUnitTypeEmplOcc6">#REF!</definedName>
    <definedName name="HousIncomeUnitTypeEmplOcc7">#REF!</definedName>
    <definedName name="HousIncomeUnitTypeEmplOcc8">#REF!</definedName>
    <definedName name="HousIncomeUnitTypeEmplOcc9">#REF!</definedName>
    <definedName name="HousIncomeUnitTypeHOME1">#REF!</definedName>
    <definedName name="HousIncomeUnitTypeHOME10">#REF!</definedName>
    <definedName name="HousIncomeUnitTypeHOME11">#REF!</definedName>
    <definedName name="HousIncomeUnitTypeHOME12">#REF!</definedName>
    <definedName name="HousIncomeUnitTypeHOME13">#REF!</definedName>
    <definedName name="HousIncomeUnitTypeHOME14">#REF!</definedName>
    <definedName name="HousIncomeUnitTypeHOME15">#REF!</definedName>
    <definedName name="HousIncomeUnitTypeHOME16">#REF!</definedName>
    <definedName name="HousIncomeUnitTypeHOME17">#REF!</definedName>
    <definedName name="HousIncomeUnitTypeHOME18">#REF!</definedName>
    <definedName name="HousIncomeUnitTypeHOME19">#REF!</definedName>
    <definedName name="HousIncomeUnitTypeHOME2">#REF!</definedName>
    <definedName name="HousIncomeUnitTypeHOME20">#REF!</definedName>
    <definedName name="HousIncomeUnitTypeHOME21">#REF!</definedName>
    <definedName name="HousIncomeUnitTypeHOME3">#REF!</definedName>
    <definedName name="HousIncomeUnitTypeHOME4">#REF!</definedName>
    <definedName name="HousIncomeUnitTypeHOME5">#REF!</definedName>
    <definedName name="HousIncomeUnitTypeHOME6">#REF!</definedName>
    <definedName name="HousIncomeUnitTypeHOME7">#REF!</definedName>
    <definedName name="HousIncomeUnitTypeHOME8">#REF!</definedName>
    <definedName name="HousIncomeUnitTypeHOME9">#REF!</definedName>
    <definedName name="HousIncomeUnitTypeHTC1">#REF!</definedName>
    <definedName name="HousIncomeUnitTypeHTC10">#REF!</definedName>
    <definedName name="HousIncomeUnitTypeHTC11">#REF!</definedName>
    <definedName name="HousIncomeUnitTypeHTC12">#REF!</definedName>
    <definedName name="HousIncomeUnitTypeHTC13">#REF!</definedName>
    <definedName name="HousIncomeUnitTypeHTC14">#REF!</definedName>
    <definedName name="HousIncomeUnitTypeHTC15">#REF!</definedName>
    <definedName name="HousIncomeUnitTypeHTC16">#REF!</definedName>
    <definedName name="HousIncomeUnitTypeHTC17">#REF!</definedName>
    <definedName name="HousIncomeUnitTypeHTC18">#REF!</definedName>
    <definedName name="HousIncomeUnitTypeHTC19">#REF!</definedName>
    <definedName name="HousIncomeUnitTypeHTC2">#REF!</definedName>
    <definedName name="HousIncomeUnitTypeHTC20">#REF!</definedName>
    <definedName name="HousIncomeUnitTypeHTC21">#REF!</definedName>
    <definedName name="HousIncomeUnitTypeHTC22">#REF!</definedName>
    <definedName name="HousIncomeUnitTypeHTC3">#REF!</definedName>
    <definedName name="HousIncomeUnitTypeHTC4">#REF!</definedName>
    <definedName name="HousIncomeUnitTypeHTC5">#REF!</definedName>
    <definedName name="HousIncomeUnitTypeHTC6">#REF!</definedName>
    <definedName name="HousIncomeUnitTypeHTC7">#REF!</definedName>
    <definedName name="HousIncomeUnitTypeHTC8">#REF!</definedName>
    <definedName name="HousIncomeUnitTypeHTC9">#REF!</definedName>
    <definedName name="HousIncomeUnitTypeLTH1">#REF!</definedName>
    <definedName name="HousIncomeUnitTypeLTH10">#REF!</definedName>
    <definedName name="HousIncomeUnitTypeLTH11">#REF!</definedName>
    <definedName name="HousIncomeUnitTypeLTH12">#REF!</definedName>
    <definedName name="HousIncomeUnitTypeLTH13">#REF!</definedName>
    <definedName name="HousIncomeUnitTypeLTH14">#REF!</definedName>
    <definedName name="HousIncomeUnitTypeLTH15">#REF!</definedName>
    <definedName name="HousIncomeUnitTypeLTH16">#REF!</definedName>
    <definedName name="HousIncomeUnitTypeLTH17">#REF!</definedName>
    <definedName name="HousIncomeUnitTypeLTH18">#REF!</definedName>
    <definedName name="HousIncomeUnitTypeLTH19">#REF!</definedName>
    <definedName name="HousIncomeUnitTypeLTH2">#REF!</definedName>
    <definedName name="HousIncomeUnitTypeLTH20">#REF!</definedName>
    <definedName name="HousIncomeUnitTypeLTH21">#REF!</definedName>
    <definedName name="HousIncomeUnitTypeLTH3">#REF!</definedName>
    <definedName name="HousIncomeUnitTypeLTH4">#REF!</definedName>
    <definedName name="HousIncomeUnitTypeLTH5">#REF!</definedName>
    <definedName name="HousIncomeUnitTypeLTH6">#REF!</definedName>
    <definedName name="HousIncomeUnitTypeLTH7">#REF!</definedName>
    <definedName name="HousIncomeUnitTypeLTH8">#REF!</definedName>
    <definedName name="HousIncomeUnitTypeLTH9">#REF!</definedName>
    <definedName name="HousIncomeUnitTypeMR1">#REF!</definedName>
    <definedName name="HousIncomeUnitTypeMR10">#REF!</definedName>
    <definedName name="HousIncomeUnitTypeMR11">#REF!</definedName>
    <definedName name="HousIncomeUnitTypeMR12">#REF!</definedName>
    <definedName name="HousIncomeUnitTypeMR13">#REF!</definedName>
    <definedName name="HousIncomeUnitTypeMR14">#REF!</definedName>
    <definedName name="HousIncomeUnitTypeMR15">#REF!</definedName>
    <definedName name="HousIncomeUnitTypeMR16">#REF!</definedName>
    <definedName name="HousIncomeUnitTypeMR17">#REF!</definedName>
    <definedName name="HousIncomeUnitTypeMR18">#REF!</definedName>
    <definedName name="HousIncomeUnitTypeMR19">#REF!</definedName>
    <definedName name="HousIncomeUnitTypeMR2">#REF!</definedName>
    <definedName name="HousIncomeUnitTypeMR20">#REF!</definedName>
    <definedName name="HousIncomeUnitTypeMR21">#REF!</definedName>
    <definedName name="HousIncomeUnitTypeMR3">#REF!</definedName>
    <definedName name="HousIncomeUnitTypeMR4">#REF!</definedName>
    <definedName name="HousIncomeUnitTypeMR5">#REF!</definedName>
    <definedName name="HousIncomeUnitTypeMR6">#REF!</definedName>
    <definedName name="HousIncomeUnitTypeMR7">#REF!</definedName>
    <definedName name="HousIncomeUnitTypeMR8">#REF!</definedName>
    <definedName name="HousIncomeUnitTypeMR9">#REF!</definedName>
    <definedName name="HousIncomeUnitTypeOpSubs1">#REF!</definedName>
    <definedName name="HousIncomeUnitTypeOpSubs10">#REF!</definedName>
    <definedName name="HousIncomeUnitTypeOpSubs11">#REF!</definedName>
    <definedName name="HousIncomeUnitTypeOpSubs12">#REF!</definedName>
    <definedName name="HousIncomeUnitTypeOpSubs13">#REF!</definedName>
    <definedName name="HousIncomeUnitTypeOpSubs14">#REF!</definedName>
    <definedName name="HousIncomeUnitTypeOpSubs15">#REF!</definedName>
    <definedName name="HousIncomeUnitTypeOpSubs16">#REF!</definedName>
    <definedName name="HousIncomeUnitTypeOpSubs17">#REF!</definedName>
    <definedName name="HousIncomeUnitTypeOpSubs18">#REF!</definedName>
    <definedName name="HousIncomeUnitTypeOpSubs19">#REF!</definedName>
    <definedName name="HousIncomeUnitTypeOpSubs2">#REF!</definedName>
    <definedName name="HousIncomeUnitTypeOpSubs20">#REF!</definedName>
    <definedName name="HousIncomeUnitTypeOpSubs21">#REF!</definedName>
    <definedName name="HousIncomeUnitTypeOpSubs3">#REF!</definedName>
    <definedName name="HousIncomeUnitTypeOpSubs4">#REF!</definedName>
    <definedName name="HousIncomeUnitTypeOpSubs5">#REF!</definedName>
    <definedName name="HousIncomeUnitTypeOpSubs6">#REF!</definedName>
    <definedName name="HousIncomeUnitTypeOpSubs7">#REF!</definedName>
    <definedName name="HousIncomeUnitTypeOpSubs8">#REF!</definedName>
    <definedName name="HousIncomeUnitTypeOpSubs9">#REF!</definedName>
    <definedName name="HousIncomeUnitTypeOwnerOcc1">#REF!</definedName>
    <definedName name="HousIncomeUnitTypeOwnerOcc10">#REF!</definedName>
    <definedName name="HousIncomeUnitTypeOwnerOcc11">#REF!</definedName>
    <definedName name="HousIncomeUnitTypeOwnerOcc12">#REF!</definedName>
    <definedName name="HousIncomeUnitTypeOwnerOcc13">#REF!</definedName>
    <definedName name="HousIncomeUnitTypeOwnerOcc14">#REF!</definedName>
    <definedName name="HousIncomeUnitTypeOwnerOcc15">#REF!</definedName>
    <definedName name="HousIncomeUnitTypeOwnerOcc16">#REF!</definedName>
    <definedName name="HousIncomeUnitTypeOwnerOcc17">#REF!</definedName>
    <definedName name="HousIncomeUnitTypeOwnerOcc18">#REF!</definedName>
    <definedName name="HousIncomeUnitTypeOwnerOcc19">#REF!</definedName>
    <definedName name="HousIncomeUnitTypeOwnerOcc2">#REF!</definedName>
    <definedName name="HousIncomeUnitTypeOwnerOcc20">#REF!</definedName>
    <definedName name="HousIncomeUnitTypeOwnerOcc21">#REF!</definedName>
    <definedName name="HousIncomeUnitTypeOwnerOcc3">#REF!</definedName>
    <definedName name="HousIncomeUnitTypeOwnerOcc4">#REF!</definedName>
    <definedName name="HousIncomeUnitTypeOwnerOcc5">#REF!</definedName>
    <definedName name="HousIncomeUnitTypeOwnerOcc6">#REF!</definedName>
    <definedName name="HousIncomeUnitTypeOwnerOcc7">#REF!</definedName>
    <definedName name="HousIncomeUnitTypeOwnerOcc8">#REF!</definedName>
    <definedName name="HousIncomeUnitTypeOwnerOcc9">#REF!</definedName>
    <definedName name="HousIncomeUnitTypeRentAssist1">#REF!</definedName>
    <definedName name="HousIncomeUnitTypeRentAssist10">#REF!</definedName>
    <definedName name="HousIncomeUnitTypeRentAssist11">#REF!</definedName>
    <definedName name="HousIncomeUnitTypeRentAssist12">#REF!</definedName>
    <definedName name="HousIncomeUnitTypeRentAssist13">#REF!</definedName>
    <definedName name="HousIncomeUnitTypeRentAssist14">#REF!</definedName>
    <definedName name="HousIncomeUnitTypeRentAssist15">#REF!</definedName>
    <definedName name="HousIncomeUnitTypeRentAssist16">#REF!</definedName>
    <definedName name="HousIncomeUnitTypeRentAssist17">#REF!</definedName>
    <definedName name="HousIncomeUnitTypeRentAssist18">#REF!</definedName>
    <definedName name="HousIncomeUnitTypeRentAssist19">#REF!</definedName>
    <definedName name="HousIncomeUnitTypeRentAssist2">#REF!</definedName>
    <definedName name="HousIncomeUnitTypeRentAssist20">#REF!</definedName>
    <definedName name="HousIncomeUnitTypeRentAssist21">#REF!</definedName>
    <definedName name="HousIncomeUnitTypeRentAssist3">#REF!</definedName>
    <definedName name="HousIncomeUnitTypeRentAssist4">#REF!</definedName>
    <definedName name="HousIncomeUnitTypeRentAssist5">#REF!</definedName>
    <definedName name="HousIncomeUnitTypeRentAssist6">#REF!</definedName>
    <definedName name="HousIncomeUnitTypeRentAssist7">#REF!</definedName>
    <definedName name="HousIncomeUnitTypeRentAssist8">#REF!</definedName>
    <definedName name="HousIncomeUnitTypeRentAssist9">#REF!</definedName>
    <definedName name="HousIncomeUtilAllowACOwnerPaid">#REF!</definedName>
    <definedName name="HousIncomeUtilAllowACTenantPaid">#REF!</definedName>
    <definedName name="HousIncomeUtilAllowCookOwnerPaid">#REF!</definedName>
    <definedName name="HousIncomeUtilAllowCookTenantPaid">#REF!</definedName>
    <definedName name="HousIncomeUtilAllowElecOwnerPaid">#REF!</definedName>
    <definedName name="HousIncomeUtilAllowElecTenantPaid">#REF!</definedName>
    <definedName name="HousIncomeUtilAllowFeeOwnerPaid">#REF!</definedName>
    <definedName name="HousIncomeUtilAllowHeatOwnerPaid">#REF!</definedName>
    <definedName name="HousIncomeUtilAllowHeatTenantPaid">#REF!</definedName>
    <definedName name="HousIncomeUtilAllowSewerOwnerPaid">#REF!</definedName>
    <definedName name="HousIncomeUtilAllowSewerTenantPaid">#REF!</definedName>
    <definedName name="HousIncomeUtilAllowTaxOwnerPaid">#REF!</definedName>
    <definedName name="HousIncomeUtilAllowTaxTenantPaid">#REF!</definedName>
    <definedName name="HousIncomeUtilAllowWaterOwnerPaid">#REF!</definedName>
    <definedName name="HousIncomeUtilAllowWaterTenantPaid">#REF!</definedName>
    <definedName name="HousIncRentHsgPot">#REF!</definedName>
    <definedName name="HousIncTotalRooms">#REF!</definedName>
    <definedName name="HousIncTotalUnits">#REF!</definedName>
    <definedName name="HousIncTotContrRent">#REF!</definedName>
    <definedName name="HousIncTotRooms">#REF!</definedName>
    <definedName name="HousIncUnitGridRmsPerUnit1">#REF!</definedName>
    <definedName name="HousIncUnitGridRmsPerUnit10">#REF!</definedName>
    <definedName name="HousIncUnitGridRmsPerUnit11">#REF!</definedName>
    <definedName name="HousIncUnitGridRmsPerUnit12">#REF!</definedName>
    <definedName name="HousIncUnitGridRmsPerUnit13">#REF!</definedName>
    <definedName name="HousIncUnitGridRmsPerUnit14">#REF!</definedName>
    <definedName name="HousIncUnitGridRmsPerUnit15">#REF!</definedName>
    <definedName name="HousIncUnitGridRmsPerUnit16">#REF!</definedName>
    <definedName name="HousIncUnitGridRmsPerUnit17">#REF!</definedName>
    <definedName name="HousIncUnitGridRmsPerUnit18">#REF!</definedName>
    <definedName name="HousIncUnitGridRmsPerUnit19">#REF!</definedName>
    <definedName name="HousIncUnitGridRmsPerUnit2">#REF!</definedName>
    <definedName name="HousIncUnitGridRmsPerUnit20">#REF!</definedName>
    <definedName name="HousIncUnitGridRmsPerUnit21">#REF!</definedName>
    <definedName name="HousIncUnitGridRmsPerUnit3">#REF!</definedName>
    <definedName name="HousIncUnitGridRmsPerUnit4">#REF!</definedName>
    <definedName name="HousIncUnitGridRmsPerUnit5">#REF!</definedName>
    <definedName name="HousIncUnitGridRmsPerUnit6">#REF!</definedName>
    <definedName name="HousIncUnitGridRmsPerUnit7">#REF!</definedName>
    <definedName name="HousIncUnitGridRmsPerUnit8">#REF!</definedName>
    <definedName name="HousIncUnitGridRmsPerUnit9">#REF!</definedName>
    <definedName name="HousIncUnitRentGrid">#REF!</definedName>
    <definedName name="HousingType">#REF!</definedName>
    <definedName name="HousiningIncomeTotHTCUnits">#REF!</definedName>
    <definedName name="HTCInfoCodeSec103No">#REF!</definedName>
    <definedName name="HTCInfoCodeSec103Yes">#REF!</definedName>
    <definedName name="HTCInfoConditionsMetNo">#REF!</definedName>
    <definedName name="HTCInfoConditionsMetYes">#REF!</definedName>
    <definedName name="HTCInfoCreditTypeExistHousin">#REF!</definedName>
    <definedName name="HTCInfoCreditTypeNewFed">#REF!</definedName>
    <definedName name="HTCInfoCreditTypeNewNotFed">#REF!</definedName>
    <definedName name="HTCInfoCreditTypeRehabFed">#REF!</definedName>
    <definedName name="HTCInfoCreditTypeRehabNotFed">#REF!</definedName>
    <definedName name="HTCInfoFacilitiesClubHouse">#REF!</definedName>
    <definedName name="HTCInfoFacilitiesLockers">#REF!</definedName>
    <definedName name="HTCInfoFacilitiesOffice">#REF!</definedName>
    <definedName name="HTCInfoFacilitiesOther1">#REF!</definedName>
    <definedName name="HTCInfoFacilitiesParking">#REF!</definedName>
    <definedName name="HTCInfoFacilitiesPool">#REF!</definedName>
    <definedName name="HTCInfoFacilitiesServiceFac">#REF!</definedName>
    <definedName name="HTCInfoHousCredGtrForProf">#REF!</definedName>
    <definedName name="HTCInfoHousCredGtrNonProf">#REF!</definedName>
    <definedName name="HTCInfoHousCredMetroForProf">#REF!</definedName>
    <definedName name="HTCInfoHousCredMetroNonProf">#REF!</definedName>
    <definedName name="HTCInfoHousCredRuralDev">#REF!</definedName>
    <definedName name="HTCInfoHousCredTaxExempt">#REF!</definedName>
    <definedName name="HTCInfoMinSetAside20pct">#REF!</definedName>
    <definedName name="HTCInfoMinSetAside40pct">#REF!</definedName>
    <definedName name="HTCInfoOwnerOccSFNo">#REF!</definedName>
    <definedName name="HTCInfoOwnerOccSFYes">#REF!</definedName>
    <definedName name="HTCInfoReqStattus8609">#REF!</definedName>
    <definedName name="HTCInfoReqStattusCarryover">#REF!</definedName>
    <definedName name="HTCInfoReqStattusReservation">#REF!</definedName>
    <definedName name="HTCInfoReqStattusTaxExBonds">#REF!</definedName>
    <definedName name="HTCInfoReqTypeFirstRequest">#REF!</definedName>
    <definedName name="HTCInfoReqTypeRepeatReq">#REF!</definedName>
    <definedName name="HTCInfoReqTypeSuppRequest">#REF!</definedName>
    <definedName name="HTCInfoSourceOfFunds14pct">#REF!</definedName>
    <definedName name="HTCInfoSourceOfFunds1NA">#REF!</definedName>
    <definedName name="HTCInfoSourceOfFunds1SubBasis">#REF!</definedName>
    <definedName name="HTCInfoSourceOfFunds24Pct">#REF!</definedName>
    <definedName name="HTCInfoSourceOfFunds2NA">#REF!</definedName>
    <definedName name="HTCInfoSourceOfFunds2SubBasis">#REF!</definedName>
    <definedName name="HTCInfoTaxExemtBondNo">#REF!</definedName>
    <definedName name="HTCInfoTaxExemtBondYes">#REF!</definedName>
    <definedName name="HTCInfoTreasWaivNA">#REF!</definedName>
    <definedName name="HTCInfoTreasWaivNo">#REF!</definedName>
    <definedName name="HTCInfoTreasWaivYes">#REF!</definedName>
    <definedName name="IdentityOfInterestCheck">#REF!</definedName>
    <definedName name="IdentityOfInterestNo">#REF!</definedName>
    <definedName name="IdentityOfInterestYes">#REF!</definedName>
    <definedName name="IncomeLimitRestrictionLookup">#REF!</definedName>
    <definedName name="Interest" localSheetId="16">IF(#REF!&lt;&gt;"",#REF!*Comparison!Periodic_rate,"")</definedName>
    <definedName name="Interest" localSheetId="15">IF(#REF!&lt;&gt;"",#REF!*'Mail Merge'!Periodic_rate,"")</definedName>
    <definedName name="Interest">IF(#REF!&lt;&gt;"",#REF!*Periodic_rate,"")</definedName>
    <definedName name="InterestTypeLookup">#REF!</definedName>
    <definedName name="ISG">#REF!</definedName>
    <definedName name="IsRRDL">#REF!</definedName>
    <definedName name="Latitude">#REF!</definedName>
    <definedName name="LegalStatusLookup">#REF!</definedName>
    <definedName name="LIMITS_COUNTYLEVEL">#REF!</definedName>
    <definedName name="Line_92264A" comment="Used to allocate Sources and Uses to a project's 92264-A">#REF!</definedName>
    <definedName name="Loan_amount">#REF!</definedName>
    <definedName name="LoanType">#REF!</definedName>
    <definedName name="Longitude">#REF!</definedName>
    <definedName name="ManagemArchite">#REF!</definedName>
    <definedName name="ManagemDevelop">#REF!</definedName>
    <definedName name="ManagemGeneralPart1">#REF!</definedName>
    <definedName name="ManagemGeneralPart2">#REF!</definedName>
    <definedName name="ManagemGeneralPart3">#REF!</definedName>
    <definedName name="ManagemManagem">#REF!</definedName>
    <definedName name="ManagemOwnerM">#REF!</definedName>
    <definedName name="ManagemProject">#REF!</definedName>
    <definedName name="MAPinR103">#REF!</definedName>
    <definedName name="MAPinR110">#REF!</definedName>
    <definedName name="MAPMDR14">#REF!</definedName>
    <definedName name="MarketApprais">#REF!</definedName>
    <definedName name="MarketArchite">#REF!</definedName>
    <definedName name="MarketAttorne">#REF!</definedName>
    <definedName name="MarketDevCons">#REF!</definedName>
    <definedName name="MarketDevelop">#REF!</definedName>
    <definedName name="MarketGeneral">#REF!</definedName>
    <definedName name="MarketGeneralPart1">#REF!</definedName>
    <definedName name="MarketGeneralPart2">#REF!</definedName>
    <definedName name="MarketGeneralPart3">#REF!</definedName>
    <definedName name="MarketManagem">#REF!</definedName>
    <definedName name="MarketMarket">#REF!</definedName>
    <definedName name="MarketNonprof">#REF!</definedName>
    <definedName name="MarketOwnerM">#REF!</definedName>
    <definedName name="MarketProcess">#REF!</definedName>
    <definedName name="MarketProject">#REF!</definedName>
    <definedName name="MarketPropert">#REF!</definedName>
    <definedName name="MarketService">#REF!</definedName>
    <definedName name="MarketTaxCred">#REF!</definedName>
    <definedName name="MinHOMEUnitsSubLimTest">#REF!</definedName>
    <definedName name="MinRate">#REF!</definedName>
    <definedName name="MIP">#REF!</definedName>
    <definedName name="MortCalc1stMortFeesDevCostEscrow">#REF!</definedName>
    <definedName name="MortCalc1stMortFeesInsPrem">#REF!</definedName>
    <definedName name="MortCalc1stMortFeesOrigFee">#REF!</definedName>
    <definedName name="MortCalc1stMortMNHsg">#REF!</definedName>
    <definedName name="MortCalcNeg1stMortPrinc">#REF!</definedName>
    <definedName name="MortCalcSubDebtMNHsgLend1">#REF!</definedName>
    <definedName name="MortCalcSubDebtMNHsgLend1Amort">#REF!</definedName>
    <definedName name="MortCalcSubDebtMNHsgLend1Name">#REF!</definedName>
    <definedName name="MortCalcSubDebtMNHsgLend1Princ">#REF!</definedName>
    <definedName name="MortCalcSubDebtMNHsgLend1Rate">#REF!</definedName>
    <definedName name="MortCalcSubDebtMNHsgLend1Term">#REF!</definedName>
    <definedName name="MortCalcSubDebtMNHsgLend2">#REF!</definedName>
    <definedName name="MortCalcSubDebtMNHsgLend2Amort">#REF!</definedName>
    <definedName name="MortCalcSubDebtMNHsgLend2Name">#REF!</definedName>
    <definedName name="MortCalcSubDebtMNHsgLend2Princ">#REF!</definedName>
    <definedName name="MortCalcSubDebtMNHsgLend2Rate">#REF!</definedName>
    <definedName name="MortCalcSubDebtMNHsgLend2Term">#REF!</definedName>
    <definedName name="MortCalcSubDebtMNHsgLend3">#REF!</definedName>
    <definedName name="MortCalcSubDebtMNHsgLend3Name">#REF!</definedName>
    <definedName name="MortCalcSubDebtMNHsgLend3Princ">#REF!</definedName>
    <definedName name="MortCalcSubDebtMNHsgLend3Rate">#REF!</definedName>
    <definedName name="MortCalcSubDebtMNHsgLend3Term">#REF!</definedName>
    <definedName name="MortCalcSubDebtMNHsgLend4">#REF!</definedName>
    <definedName name="MortCalcSubDebtMNHsgLend4Amort">#REF!</definedName>
    <definedName name="MortCalcSubDebtMNHsgLend4Name">#REF!</definedName>
    <definedName name="MortCalcSubDebtMNHsgLend4Princ">#REF!</definedName>
    <definedName name="MortCalcSubDebtMNHsgLend4Rate">#REF!</definedName>
    <definedName name="MortCalcSubDebtMNHsgLend4Term">#REF!</definedName>
    <definedName name="MortCalcSubDebtMNHsgLend5">#REF!</definedName>
    <definedName name="MortCalcSubDebtMNHsgLend6">#REF!</definedName>
    <definedName name="MortRateCalcAmortLoan1">#REF!</definedName>
    <definedName name="MortRateCalcAmortLoan2">#REF!</definedName>
    <definedName name="MortRateCalcAmortLoan3">#REF!</definedName>
    <definedName name="MortRateCalcAmortLoan4">#REF!</definedName>
    <definedName name="MortRateCalcAmortLoan5">#REF!</definedName>
    <definedName name="MortRateCalcLoanAmt1">#REF!</definedName>
    <definedName name="MortRateCalcLoanAmt2">#REF!</definedName>
    <definedName name="MortRateCalcLoanAmt3">#REF!</definedName>
    <definedName name="MortRateCalcLoanAmt4">#REF!</definedName>
    <definedName name="MortRateCalcLoanAmt5">#REF!</definedName>
    <definedName name="MortRateCalcMonthPmt1">#REF!</definedName>
    <definedName name="MortRateCalcMonthPmt2">#REF!</definedName>
    <definedName name="MortRateCalcMonthPmt3">#REF!</definedName>
    <definedName name="MortRateCalcMonthPmt4">#REF!</definedName>
    <definedName name="MortRateCalcMonthPmt5">#REF!</definedName>
    <definedName name="MortRateCalcNegLoanAmt1">#REF!</definedName>
    <definedName name="MortRateCalcNegLoanAmt2">#REF!</definedName>
    <definedName name="MortRateCalcNegLoanAmt3">#REF!</definedName>
    <definedName name="MortRateCalcNegLoanAmt4">#REF!</definedName>
    <definedName name="MortRateCalcNegLoanAmt5">#REF!</definedName>
    <definedName name="MortRateCalcRate1">#REF!</definedName>
    <definedName name="MortRateCalcRate2">#REF!</definedName>
    <definedName name="MortRateCalcRate3">#REF!</definedName>
    <definedName name="MortRateCalcRate4">#REF!</definedName>
    <definedName name="MortRateCalcRate5">#REF!</definedName>
    <definedName name="MortRateCalcTerm1">#REF!</definedName>
    <definedName name="MortRateCalcTerm2">#REF!</definedName>
    <definedName name="MortRateCalcTerm3">#REF!</definedName>
    <definedName name="MortRateCalcTerm4">#REF!</definedName>
    <definedName name="MortRateCalcTerm5">#REF!</definedName>
    <definedName name="MTSP2018">#REF!</definedName>
    <definedName name="Non_mortgageable_cost_category">#REF!</definedName>
    <definedName name="NonprofApprais">#REF!</definedName>
    <definedName name="NonprofArchite">#REF!</definedName>
    <definedName name="NonprofDevCons">#REF!</definedName>
    <definedName name="NonprofDevelop">#REF!</definedName>
    <definedName name="NonprofGeneral">#REF!</definedName>
    <definedName name="NonprofGeneralPart1">#REF!</definedName>
    <definedName name="NonprofGeneralPart2">#REF!</definedName>
    <definedName name="NonprofGeneralPart3">#REF!</definedName>
    <definedName name="NonprofManagem">#REF!</definedName>
    <definedName name="NonprofNonprof">#REF!</definedName>
    <definedName name="NonprofProcess">#REF!</definedName>
    <definedName name="NonprofProject">#REF!</definedName>
    <definedName name="NonprofService">#REF!</definedName>
    <definedName name="NonprofTaxCred">#REF!</definedName>
    <definedName name="NotFedSub">#REF!</definedName>
    <definedName name="Options">#REF!</definedName>
    <definedName name="Other1Apprais">#REF!</definedName>
    <definedName name="Other1Archite">#REF!</definedName>
    <definedName name="Other1Attorne">#REF!</definedName>
    <definedName name="Other1Develop">#REF!</definedName>
    <definedName name="Other1General">#REF!</definedName>
    <definedName name="Other1GeneralPart1">#REF!</definedName>
    <definedName name="Other1GeneralPart2">#REF!</definedName>
    <definedName name="Other1GeneralPart3">#REF!</definedName>
    <definedName name="Other1Managem">#REF!</definedName>
    <definedName name="Other1Market">#REF!</definedName>
    <definedName name="Other1Nonprof">#REF!</definedName>
    <definedName name="Other1Other1">#REF!</definedName>
    <definedName name="Other1OwnerM">#REF!</definedName>
    <definedName name="Other1Process">#REF!</definedName>
    <definedName name="Other1Project">#REF!</definedName>
    <definedName name="Other1Propert">#REF!</definedName>
    <definedName name="Other1Rental">#REF!</definedName>
    <definedName name="Other1Service">#REF!</definedName>
    <definedName name="Other1TaxCred">#REF!</definedName>
    <definedName name="Other2Apprais">#REF!</definedName>
    <definedName name="Other2Archite">#REF!</definedName>
    <definedName name="Other2Attorne">#REF!</definedName>
    <definedName name="Other2DevCons">#REF!</definedName>
    <definedName name="Other2Develop">#REF!</definedName>
    <definedName name="Other2General">#REF!</definedName>
    <definedName name="Other2GeneralPart1">#REF!</definedName>
    <definedName name="Other2GeneralPart2">#REF!</definedName>
    <definedName name="Other2GeneralPart3">#REF!</definedName>
    <definedName name="Other2Managem">#REF!</definedName>
    <definedName name="Other2Market">#REF!</definedName>
    <definedName name="Other2Nonprof">#REF!</definedName>
    <definedName name="Other2Other1">#REF!</definedName>
    <definedName name="Other2Other2">#REF!</definedName>
    <definedName name="Other2OwnerM">#REF!</definedName>
    <definedName name="Other2Process">#REF!</definedName>
    <definedName name="Other2Project">#REF!</definedName>
    <definedName name="Other2Propert">#REF!</definedName>
    <definedName name="Other2Rental">#REF!</definedName>
    <definedName name="Other2Service">#REF!</definedName>
    <definedName name="Other2TaxCred">#REF!</definedName>
    <definedName name="Other3Apprais">#REF!</definedName>
    <definedName name="Other3Archite">#REF!</definedName>
    <definedName name="Other3Attorne">#REF!</definedName>
    <definedName name="Other3DevCons">#REF!</definedName>
    <definedName name="Other3Develop">#REF!</definedName>
    <definedName name="Other3General">#REF!</definedName>
    <definedName name="Other3GeneralPart1">#REF!</definedName>
    <definedName name="Other3GeneralPart2">#REF!</definedName>
    <definedName name="Other3Managem">#REF!</definedName>
    <definedName name="Other3Market">#REF!</definedName>
    <definedName name="Other3Nonprof">#REF!</definedName>
    <definedName name="Other3Other1">#REF!</definedName>
    <definedName name="Other3Other2">#REF!</definedName>
    <definedName name="Other3Other3">#REF!</definedName>
    <definedName name="Other3OwnerM">#REF!</definedName>
    <definedName name="Other3Process">#REF!</definedName>
    <definedName name="Other3Project">#REF!</definedName>
    <definedName name="Other3Propert">#REF!</definedName>
    <definedName name="Other3Rental">#REF!</definedName>
    <definedName name="Other3Service">#REF!</definedName>
    <definedName name="Other3TaxCred">#REF!</definedName>
    <definedName name="Other4Apprais">#REF!</definedName>
    <definedName name="Other4Archite">#REF!</definedName>
    <definedName name="Other4Attorne">#REF!</definedName>
    <definedName name="Other4DevCons">#REF!</definedName>
    <definedName name="Other4Develop">#REF!</definedName>
    <definedName name="Other4General">#REF!</definedName>
    <definedName name="Other4GeneralPart1">#REF!</definedName>
    <definedName name="Other4GeneralPart2">#REF!</definedName>
    <definedName name="Other4GeneralPart3">#REF!</definedName>
    <definedName name="Other4Managem">#REF!</definedName>
    <definedName name="Other4Market">#REF!</definedName>
    <definedName name="Other4Nonprof">#REF!</definedName>
    <definedName name="Other4Other1">#REF!</definedName>
    <definedName name="Other4Other2">#REF!</definedName>
    <definedName name="Other4Other3">#REF!</definedName>
    <definedName name="Other4Other4">#REF!</definedName>
    <definedName name="Other4OwnerM">#REF!</definedName>
    <definedName name="Other4Process">#REF!</definedName>
    <definedName name="Other4Project">#REF!</definedName>
    <definedName name="Other4Propert">#REF!</definedName>
    <definedName name="Other4Rental">#REF!</definedName>
    <definedName name="Other4Service">#REF!</definedName>
    <definedName name="Other4TaxCred">#REF!</definedName>
    <definedName name="Other5Apprais">#REF!</definedName>
    <definedName name="Other5Archite">#REF!</definedName>
    <definedName name="Other5Attorne">#REF!</definedName>
    <definedName name="Other5DevCons">#REF!</definedName>
    <definedName name="Other5Develop">#REF!</definedName>
    <definedName name="Other5General">#REF!</definedName>
    <definedName name="Other5GeneralPart1">#REF!</definedName>
    <definedName name="Other5GeneralPart2">#REF!</definedName>
    <definedName name="Other5GeneralPart3">#REF!</definedName>
    <definedName name="Other5Managem">#REF!</definedName>
    <definedName name="Other5Market">#REF!</definedName>
    <definedName name="Other5Nonprof">#REF!</definedName>
    <definedName name="Other5Other1">#REF!</definedName>
    <definedName name="Other5Other2">#REF!</definedName>
    <definedName name="Other5Other3">#REF!</definedName>
    <definedName name="Other5Other4">#REF!</definedName>
    <definedName name="Other5Other5">#REF!</definedName>
    <definedName name="Other5OwnerM">#REF!</definedName>
    <definedName name="Other5Process">#REF!</definedName>
    <definedName name="Other5Project">#REF!</definedName>
    <definedName name="Other5Propert">#REF!</definedName>
    <definedName name="Other5Rental">#REF!</definedName>
    <definedName name="Other5Service">#REF!</definedName>
    <definedName name="Other5TaxCred">#REF!</definedName>
    <definedName name="Other6Apprais">#REF!</definedName>
    <definedName name="Other6Archite">#REF!</definedName>
    <definedName name="Other6Attorne">#REF!</definedName>
    <definedName name="Other6DevCons">#REF!</definedName>
    <definedName name="Other6Develop">#REF!</definedName>
    <definedName name="Other6General">#REF!</definedName>
    <definedName name="Other6GeneralPart1">#REF!</definedName>
    <definedName name="Other6GeneralPart2">#REF!</definedName>
    <definedName name="Other6GeneralPart3">#REF!</definedName>
    <definedName name="Other6Managem">#REF!</definedName>
    <definedName name="Other6Market">#REF!</definedName>
    <definedName name="Other6Nonprof">#REF!</definedName>
    <definedName name="Other6Other1">#REF!</definedName>
    <definedName name="Other6Other2">#REF!</definedName>
    <definedName name="Other6Other3">#REF!</definedName>
    <definedName name="Other6Other4">#REF!</definedName>
    <definedName name="Other6Other5">#REF!</definedName>
    <definedName name="Other6Other6">#REF!</definedName>
    <definedName name="Other6OwnerM">#REF!</definedName>
    <definedName name="Other6Process">#REF!</definedName>
    <definedName name="Other6Project">#REF!</definedName>
    <definedName name="Other6Propert">#REF!</definedName>
    <definedName name="Other6Rental">#REF!</definedName>
    <definedName name="Other6Service">#REF!</definedName>
    <definedName name="Other6TaxCred">#REF!</definedName>
    <definedName name="OtherDevCons">#REF!</definedName>
    <definedName name="OwnerDevelop">#REF!</definedName>
    <definedName name="OwnerOwnerM">#REF!</definedName>
    <definedName name="OwnerProject">#REF!</definedName>
    <definedName name="payment.Num" localSheetId="16">IF(OR(#REF!="",#REF!=Comparison!Total_payments),"",#REF!+1)</definedName>
    <definedName name="payment.Num" localSheetId="15">IF(OR(#REF!="",#REF!='Mail Merge'!Total_payments),"",#REF!+1)</definedName>
    <definedName name="payment.Num">IF(OR(#REF!="",#REF!=Total_payments),"",#REF!+1)</definedName>
    <definedName name="Payments_per_year">#REF!</definedName>
    <definedName name="Periodic_rate" localSheetId="16">Annual_interest_rate/Payments_per_year</definedName>
    <definedName name="Periodic_rate" localSheetId="15">Annual_interest_rate/Payments_per_year</definedName>
    <definedName name="Periodic_rate">Annual_interest_rate/Payments_per_year</definedName>
    <definedName name="Pmt_to_use" localSheetId="16">#REF!</definedName>
    <definedName name="Pmt_to_use" localSheetId="15">#REF!</definedName>
    <definedName name="Pmt_to_use">#REF!</definedName>
    <definedName name="PreservAgencyAllocation" localSheetId="15">#REF!</definedName>
    <definedName name="PreservAgencyAllocation">#REF!</definedName>
    <definedName name="PreservExistHTCHighRisk" localSheetId="15">#REF!</definedName>
    <definedName name="PreservExistHTCHighRisk">#REF!</definedName>
    <definedName name="PreservExistHTCImmRisk">#REF!</definedName>
    <definedName name="PreservFedAssistContractEligib">#REF!</definedName>
    <definedName name="PreservFedAssistMortMaturity">#REF!</definedName>
    <definedName name="PreservFedAssistOptOut">#REF!</definedName>
    <definedName name="PreservFedAssistPrePay">#REF!</definedName>
    <definedName name="PreservSuballocator">#REF!</definedName>
    <definedName name="PresMktRentComps">#REF!</definedName>
    <definedName name="PresTotMonthlyContrRent">#REF!</definedName>
    <definedName name="Principal" localSheetId="16">IF(#REF!&lt;&gt;"",MIN(#REF!,Comparison!Pmt_to_use-#REF!),"")</definedName>
    <definedName name="Principal" localSheetId="15">IF(#REF!&lt;&gt;"",MIN(#REF!,'Mail Merge'!Pmt_to_use-#REF!),"")</definedName>
    <definedName name="Principal">IF(#REF!&lt;&gt;"",MIN(#REF!,Pmt_to_use-#REF!),"")</definedName>
    <definedName name="_xlnm.Print_Area" localSheetId="6">'Cash Flow'!$C$1:$S$50</definedName>
    <definedName name="_xlnm.Print_Area" localSheetId="4">'Dev Costs'!$B$2:$M$76</definedName>
    <definedName name="_xlnm.Print_Area" localSheetId="8">'Draw Schedule'!$B$1:$AN$75</definedName>
    <definedName name="_xlnm.Print_Area" localSheetId="2">'Housing Income'!$B$2:$M$34</definedName>
    <definedName name="_xlnm.Print_Area" localSheetId="3">'Inc &amp; Exp'!$A$1:$L$51</definedName>
    <definedName name="_xlnm.Print_Area" localSheetId="11">Predevelopment!$B$1:$AJ$31</definedName>
    <definedName name="_xlnm.Print_Area" localSheetId="7">'Refi Analysis'!$B$1:$T$33</definedName>
    <definedName name="_xlnm.Print_Area" localSheetId="9">Reserves!$B$2:$M$44</definedName>
    <definedName name="_xlnm.Print_Area" localSheetId="5">'Sources &amp; Loan Sizing'!$B$2:$N$149</definedName>
    <definedName name="_xlnm.Print_Area" localSheetId="12">'Sponsor Financials'!$B$2:$M$25</definedName>
    <definedName name="_xlnm.Print_Area" localSheetId="10">'Stress Test'!$A$1:$V$72</definedName>
    <definedName name="_xlnm.Print_Area" localSheetId="1">Summary!$B$1:$M$167</definedName>
    <definedName name="ProcessArchite" localSheetId="15">#REF!</definedName>
    <definedName name="ProcessArchite">#REF!</definedName>
    <definedName name="ProcessDevCons" localSheetId="15">#REF!</definedName>
    <definedName name="ProcessDevCons">#REF!</definedName>
    <definedName name="ProcessDevelop" localSheetId="15">#REF!</definedName>
    <definedName name="ProcessDevelop">#REF!</definedName>
    <definedName name="ProcessGeneralPart1">#REF!</definedName>
    <definedName name="ProcessGeneralPart2">#REF!</definedName>
    <definedName name="ProcessGeneralPart3">#REF!</definedName>
    <definedName name="ProcessManagem">#REF!</definedName>
    <definedName name="ProcessOwnerM">#REF!</definedName>
    <definedName name="ProcessProcess">#REF!</definedName>
    <definedName name="ProcessProject">#REF!</definedName>
    <definedName name="ProcessService">#REF!</definedName>
    <definedName name="ProcessTaxCred">#REF!</definedName>
    <definedName name="ProjDesc42M1Letter">#REF!</definedName>
    <definedName name="ProjDescActType1">#REF!</definedName>
    <definedName name="ProjDescActType2">#REF!</definedName>
    <definedName name="ProjDescActType3">#REF!</definedName>
    <definedName name="ProjDescActType4">#REF!</definedName>
    <definedName name="ProjDescActType5">#REF!</definedName>
    <definedName name="ProjDescActTypeAcquisition">#REF!</definedName>
    <definedName name="ProjDescActTypeConversion">#REF!</definedName>
    <definedName name="ProjDescActTypeDemolition">#REF!</definedName>
    <definedName name="ProjDescActTypeHistoricPres">#REF!</definedName>
    <definedName name="ProjDescActTypeNewConstr">#REF!</definedName>
    <definedName name="ProjDescActTypeOther1">#REF!</definedName>
    <definedName name="ProjDescActTypeOther2">#REF!</definedName>
    <definedName name="ProjDescActTypeRefinance">#REF!</definedName>
    <definedName name="ProjDescActTypeRehabilitaton">#REF!</definedName>
    <definedName name="ProjDescActTypeRentSubsidy">#REF!</definedName>
    <definedName name="ProjDescActTypeScatteredDev">#REF!</definedName>
    <definedName name="ProjDescActTypeStabilization">#REF!</definedName>
    <definedName name="ProjDescDeferredLoans">#REF!</definedName>
    <definedName name="ProjDescDevelopmentName">#REF!</definedName>
    <definedName name="ProjDescHousingTaxCredits">#REF!</definedName>
    <definedName name="ProjDescLatitude">#REF!</definedName>
    <definedName name="ProjDescLMIRFirstMortgage">#REF!</definedName>
    <definedName name="ProjDescLongitude">#REF!</definedName>
    <definedName name="ProjDescOperatingSubsidy">#REF!</definedName>
    <definedName name="ProjDescPrimaryAddress">#REF!</definedName>
    <definedName name="ProjDescQualifiedContract">#REF!</definedName>
    <definedName name="ProjDescRentalAssistance">#REF!</definedName>
    <definedName name="ProjDescRRDLAdministrator">#REF!</definedName>
    <definedName name="ProjDescRRDLBorrower">#REF!</definedName>
    <definedName name="ProjDescRRDLProject">#REF!</definedName>
    <definedName name="ProjDescStratPrior1">#REF!</definedName>
    <definedName name="ProjDescStratPrior2">#REF!</definedName>
    <definedName name="ProjDescStratPrior3">#REF!</definedName>
    <definedName name="ProjDescStratPrior4">#REF!</definedName>
    <definedName name="ProjDescStratPrior5">#REF!</definedName>
    <definedName name="ProjDescStratPrior6">#REF!</definedName>
    <definedName name="ProjDescStratPriorCriticalNeed">#REF!</definedName>
    <definedName name="ProjDescStratPriorForeclosure">#REF!</definedName>
    <definedName name="ProjDescStratPriorLTH">#REF!</definedName>
    <definedName name="ProjDescStratPriorNewAffHousing">#REF!</definedName>
    <definedName name="ProjDescStratPriorPresExistHousing">#REF!</definedName>
    <definedName name="ProjDescStratPriorPresFedAssist">#REF!</definedName>
    <definedName name="ProjDescZipCode">#REF!</definedName>
    <definedName name="Project_Count_ranges">#REF!</definedName>
    <definedName name="ProjectDescCity">#REF!</definedName>
    <definedName name="ProjectDescCounty">#REF!</definedName>
    <definedName name="ProjectDescriptionPrimaryAddress">#REF!</definedName>
    <definedName name="ProjectProject">#REF!</definedName>
    <definedName name="PropertApprais">#REF!</definedName>
    <definedName name="PropertArchite">#REF!</definedName>
    <definedName name="PropertAttorne">#REF!</definedName>
    <definedName name="PropertDevelop">#REF!</definedName>
    <definedName name="PropertGeneral">#REF!</definedName>
    <definedName name="PropertGeneralPart1">#REF!</definedName>
    <definedName name="PropertGeneralPart2">#REF!</definedName>
    <definedName name="PropertGeneralPart3">#REF!</definedName>
    <definedName name="PropertManagem">#REF!</definedName>
    <definedName name="PropertNonprof">#REF!</definedName>
    <definedName name="PropertOwnerM">#REF!</definedName>
    <definedName name="PropertProcess">#REF!</definedName>
    <definedName name="PropertProject">#REF!</definedName>
    <definedName name="PropertPropert">#REF!</definedName>
    <definedName name="PropertService">#REF!</definedName>
    <definedName name="PropertTaxCred">#REF!</definedName>
    <definedName name="PropInfoCensusTractNo">#REF!</definedName>
    <definedName name="PropInfoCurrZoningNo">#REF!</definedName>
    <definedName name="PropInfoCurrZoningYes">#REF!</definedName>
    <definedName name="PropInfoExistBuildingsOccupied">#REF!</definedName>
    <definedName name="PropInfoExistBuildingsVacant">#REF!</definedName>
    <definedName name="PropInfoHasAcqRelPartyNo">#REF!</definedName>
    <definedName name="PropInfoHasAcqRelPartyYes">#REF!</definedName>
    <definedName name="PropInfoHistBuildingNo">#REF!</definedName>
    <definedName name="PropInfoHistBuildingYes">#REF!</definedName>
    <definedName name="PropInfoPropHistBuildingNo">#REF!</definedName>
    <definedName name="PropInfoPropHistBuildingYes">#REF!</definedName>
    <definedName name="PropInfoSiteDescDesBasisBoos">#REF!</definedName>
    <definedName name="PropInfoSiteDescDiffDevArea">#REF!</definedName>
    <definedName name="PropInfoSiteDescQualCenTr">#REF!</definedName>
    <definedName name="PropInfoSiteFeatures1000FtRR">#REF!</definedName>
    <definedName name="PropInfoSiteFeatures15MiMilA">#REF!</definedName>
    <definedName name="PropInfoSiteFeatures3000FtAP">#REF!</definedName>
    <definedName name="PropInfoSiteFeatures5MiCivAP">#REF!</definedName>
    <definedName name="PropInfoSiteFeaturesCreek">#REF!</definedName>
    <definedName name="PropInfoSiteFeaturesDrainage">#REF!</definedName>
    <definedName name="PropInfoSiteFeaturesEnvHaz">#REF!</definedName>
    <definedName name="PropInfoSiteFeaturesFill">#REF!</definedName>
    <definedName name="PropInfoSiteFeaturesFloodPl">#REF!</definedName>
    <definedName name="PropInfoSiteFeaturesHiTensWi">#REF!</definedName>
    <definedName name="PropInfoSiteFeaturesNearAP">#REF!</definedName>
    <definedName name="PropInfoSiteFeaturesRavines">#REF!</definedName>
    <definedName name="PropInfoSiteFeaturesRockForm">#REF!</definedName>
    <definedName name="PropInfoSiteFeaturesTowers">#REF!</definedName>
    <definedName name="PropInfoSiteFeaturesUnStSoil">#REF!</definedName>
    <definedName name="PropInfoUtilElecConnNo">#REF!</definedName>
    <definedName name="PropInfoUtilElecConnYes">#REF!</definedName>
    <definedName name="PropInfoUtilElecWillConnNo">#REF!</definedName>
    <definedName name="PropInfoUtilElecWillConnYes">#REF!</definedName>
    <definedName name="PropInfoUtilExtNecNo">#REF!</definedName>
    <definedName name="PropInfoUtilExtNecYes">#REF!</definedName>
    <definedName name="PropInfoUtilGasConnNo">#REF!</definedName>
    <definedName name="PropInfoUtilGasConnYes">#REF!</definedName>
    <definedName name="PropInfoUtilGasWillConnNo">#REF!</definedName>
    <definedName name="PropInfoUtilGasWillConnYes">#REF!</definedName>
    <definedName name="PropInfoUtilSewerConnNo">#REF!</definedName>
    <definedName name="PropInfoUtilSewerConnYes">#REF!</definedName>
    <definedName name="PropInfoUtilWaterConnNo">#REF!</definedName>
    <definedName name="PropInfoUtilWaterConnYes">#REF!</definedName>
    <definedName name="PropInfoUtilWaterWillConnNo">#REF!</definedName>
    <definedName name="PropInfoUtilWaterWillConnYes">#REF!</definedName>
    <definedName name="PropInfoWillAcqRelPartyNo">#REF!</definedName>
    <definedName name="PropInfoWillAcqRelPartyYes">#REF!</definedName>
    <definedName name="RAOSNameOfSourceLookup">#REF!</definedName>
    <definedName name="RAOSTypeOfSourceLookup">#REF!</definedName>
    <definedName name="RenewalTypeLookup">#REF!</definedName>
    <definedName name="RentalApprais">#REF!</definedName>
    <definedName name="RentalArchite">#REF!</definedName>
    <definedName name="RentalAttorne">#REF!</definedName>
    <definedName name="RentalDevCons">#REF!</definedName>
    <definedName name="RentalDevelop">#REF!</definedName>
    <definedName name="RentalGeneral">#REF!</definedName>
    <definedName name="RentalGeneralPart1">#REF!</definedName>
    <definedName name="RentalGeneralPart2">#REF!</definedName>
    <definedName name="RentalGeneralPart3">#REF!</definedName>
    <definedName name="RentalManagem">#REF!</definedName>
    <definedName name="RentalMarket">#REF!</definedName>
    <definedName name="RentalNonprof">#REF!</definedName>
    <definedName name="RentalOwnerM">#REF!</definedName>
    <definedName name="RentalProcess">#REF!</definedName>
    <definedName name="RentalProject">#REF!</definedName>
    <definedName name="RentalPropert">#REF!</definedName>
    <definedName name="RentalRental">#REF!</definedName>
    <definedName name="RentalService">#REF!</definedName>
    <definedName name="RentalTaxCred">#REF!</definedName>
    <definedName name="RentAssistSourcType1">#REF!</definedName>
    <definedName name="RentAssistSourcType2">#REF!</definedName>
    <definedName name="RentAssistSourcType3">#REF!</definedName>
    <definedName name="RentAssistSourcType4">#REF!</definedName>
    <definedName name="RentLimitRestrictionLookup">#REF!</definedName>
    <definedName name="RepaymentType">#REF!</definedName>
    <definedName name="RiskOfLossLookup">#REF!</definedName>
    <definedName name="RRDLAddlBuildAddr">#REF!</definedName>
    <definedName name="RRDLAddlBuildZip">#REF!</definedName>
    <definedName name="RRDLAnnualIncomeRows">#REF!</definedName>
    <definedName name="RRDLApplCity">#REF!</definedName>
    <definedName name="RRDLApplState">#REF!</definedName>
    <definedName name="RRDLCoApplCity">#REF!</definedName>
    <definedName name="RRDLCoApplState">#REF!</definedName>
    <definedName name="RRDLCompleteComplianceNo">#REF!</definedName>
    <definedName name="RRDLCompleteComplianceYes">#REF!</definedName>
    <definedName name="RRDLCurrIndebtednessRows">#REF!</definedName>
    <definedName name="RRDLCurrOwnBuildingNo">#REF!</definedName>
    <definedName name="RRDLCurrOwnBuildingYes">#REF!</definedName>
    <definedName name="RRDLDesigHistoricBuildNo">#REF!</definedName>
    <definedName name="RRDLDesigHistoricBuildYes">#REF!</definedName>
    <definedName name="RRDLIncrementalRows">#REF!</definedName>
    <definedName name="RRDLPermanentDisplacementNo">#REF!</definedName>
    <definedName name="RRDLPermanentDisplacementYes">#REF!</definedName>
    <definedName name="RRDLPriorMHFAFundingNo">#REF!</definedName>
    <definedName name="RRDLPriorMHFAFundingYes">#REF!</definedName>
    <definedName name="RRDLPropInfoGrossSqFtBuildings">#REF!</definedName>
    <definedName name="RRDLPropInfoGrossSqFtResid">#REF!</definedName>
    <definedName name="RRDLPropInfoNbrBuild">#REF!</definedName>
    <definedName name="RRDLPropInfoNbrSitCtl">#REF!</definedName>
    <definedName name="RRDLPropInfoNbrStories">#REF!</definedName>
    <definedName name="RRDLPropInfoNbrTotUnits">#REF!</definedName>
    <definedName name="RRDLTempRelocationNo">#REF!</definedName>
    <definedName name="RRDLTempRelocationYes">#REF!</definedName>
    <definedName name="SelectedRequestTypeRRDL">#REF!</definedName>
    <definedName name="ServiceArchite">#REF!</definedName>
    <definedName name="ServiceDevelop">#REF!</definedName>
    <definedName name="ServiceGeneralPart1">#REF!</definedName>
    <definedName name="ServiceGeneralPart2">#REF!</definedName>
    <definedName name="ServiceGeneralPart3">#REF!</definedName>
    <definedName name="ServiceManagem">#REF!</definedName>
    <definedName name="ServiceOwnerM">#REF!</definedName>
    <definedName name="ServiceProject">#REF!</definedName>
    <definedName name="ServiceService">#REF!</definedName>
    <definedName name="Show.Date" localSheetId="16">IF(#REF!&lt;&gt;"",DATE(YEAR(First_payment_due),MONTH(First_payment_due)+(#REF!-1)*12/Payments_per_year,DAY(First_payment_due)),"")</definedName>
    <definedName name="Show.Date" localSheetId="15">IF(#REF!&lt;&gt;"",DATE(YEAR(First_payment_due),MONTH(First_payment_due)+(#REF!-1)*12/Payments_per_year,DAY(First_payment_due)),"")</definedName>
    <definedName name="Show.Date">IF(#REF!&lt;&gt;"",DATE(YEAR(First_payment_due),MONTH(First_payment_due)+(#REF!-1)*12/Payments_per_year,DAY(First_payment_due)),"")</definedName>
    <definedName name="SiteControlLookup">#REF!</definedName>
    <definedName name="Sources_Consolidation_Category">#REF!</definedName>
    <definedName name="SourcesConstSourcesName1">#REF!</definedName>
    <definedName name="SourcesConstSourcesName2">#REF!</definedName>
    <definedName name="SourcesConstSourcesName3">#REF!</definedName>
    <definedName name="SourcesConstSourcesName4">#REF!</definedName>
    <definedName name="SourcesContributionsComm1">#REF!</definedName>
    <definedName name="SourcesContributionsComm2">#REF!</definedName>
    <definedName name="SourcesContributionsComm3">#REF!</definedName>
    <definedName name="SourcesContributionsComm4">#REF!</definedName>
    <definedName name="SourcesContributionsComm5">#REF!</definedName>
    <definedName name="SourcesContributionsComm6">#REF!</definedName>
    <definedName name="SourcesMaxRetDeMinSyndProc">#REF!</definedName>
    <definedName name="SourcesMaxRetManEntry">#REF!</definedName>
    <definedName name="SourcesMaxRetNoSyndProc">#REF!</definedName>
    <definedName name="SourcesMaxRetWithSyndProc">#REF!</definedName>
    <definedName name="SourcesPermCap1stMortComm">#REF!</definedName>
    <definedName name="SourcesPermCap1stMortHTCGap">#REF!</definedName>
    <definedName name="SourcesPermCapDefLoanComm">#REF!</definedName>
    <definedName name="SourcesPermCapDefLoanHTCGap">#REF!</definedName>
    <definedName name="SourcesPermCapFedHistProcComm">#REF!</definedName>
    <definedName name="SourcesPermCapFedHistProcHTCGap">#REF!</definedName>
    <definedName name="SourcesPermCapGapRemComm">#REF!</definedName>
    <definedName name="SourcesPermCapGapRemHTCGap">#REF!</definedName>
    <definedName name="SourcesPermCapOther10Comm">#REF!</definedName>
    <definedName name="SourcesPermCapOther10HTCGap">#REF!</definedName>
    <definedName name="SourcesPermCapOther11Comm">#REF!</definedName>
    <definedName name="SourcesPermCapOther11HTCGap">#REF!</definedName>
    <definedName name="SourcesPermCapOther12Comm">#REF!</definedName>
    <definedName name="SourcesPermCapOther12HTCGap">#REF!</definedName>
    <definedName name="SourcesPermCapOther1Comm">#REF!</definedName>
    <definedName name="SourcesPermCapOther1HTCGap">#REF!</definedName>
    <definedName name="SourcesPermCapOther2Comm">#REF!</definedName>
    <definedName name="SourcesPermCapOther2HTCGap">#REF!</definedName>
    <definedName name="SourcesPermCapOther3Comm">#REF!</definedName>
    <definedName name="SourcesPermCapOther3HTCGap">#REF!</definedName>
    <definedName name="SourcesPermCapOther4Comm">#REF!</definedName>
    <definedName name="SourcesPermCapOther4HTCGap">#REF!</definedName>
    <definedName name="SourcesPermCapOther5Comm">#REF!</definedName>
    <definedName name="SourcesPermCapOther5HTCGap">#REF!</definedName>
    <definedName name="SourcesPermCapOther6Comm">#REF!</definedName>
    <definedName name="SourcesPermCapOther6HTCGap">#REF!</definedName>
    <definedName name="SourcesPermCapOther7Comm">#REF!</definedName>
    <definedName name="SourcesPermCapOther7HTCGap">#REF!</definedName>
    <definedName name="SourcesPermCapOther8Comm">#REF!</definedName>
    <definedName name="SourcesPermCapOther8HTCGap">#REF!</definedName>
    <definedName name="SourcesPermCapOther9Comm">#REF!</definedName>
    <definedName name="SourcesPermCapOther9HTCGap">#REF!</definedName>
    <definedName name="SourcesPermCapPartCashComm">#REF!</definedName>
    <definedName name="SourcesPermCapPartCashHTCGap">#REF!</definedName>
    <definedName name="SourcesPermCapStHistProcComm">#REF!</definedName>
    <definedName name="SourcesPermCapStHistProcHTCGap">#REF!</definedName>
    <definedName name="SourcesPermCapSyndProcComm">#REF!</definedName>
    <definedName name="SourcesPermCapSyndProcHTCGap">#REF!</definedName>
    <definedName name="sp" comment="sp is a space used for concatenation">#REF!</definedName>
    <definedName name="spec5">#REF!</definedName>
    <definedName name="spec9">#REF!</definedName>
    <definedName name="StateLocalSubsidyLookup">#REF!</definedName>
    <definedName name="StateLookup">#REF!</definedName>
    <definedName name="StrategicPriorities">#REF!</definedName>
    <definedName name="SubsidyTypeLookup">#REF!</definedName>
    <definedName name="SubsLayerEquProcLOI">#REF!</definedName>
    <definedName name="SubsLayerEquProcPartAgree">#REF!</definedName>
    <definedName name="SubsLayerVersionFinal">#REF!</definedName>
    <definedName name="SubsLayerVersionPreliminary">#REF!</definedName>
    <definedName name="SummaryExistDebtMaturity1">#REF!</definedName>
    <definedName name="SummaryExistDebtMaturity2">#REF!</definedName>
    <definedName name="SummaryExistDebtMaturity3">#REF!</definedName>
    <definedName name="SummaryExistDebtMaturity4">#REF!</definedName>
    <definedName name="SummaryExistDebtOrigAmt1">#REF!</definedName>
    <definedName name="SummaryExistDebtOrigAmt2">#REF!</definedName>
    <definedName name="SummaryExistDebtOrigAmt3">#REF!</definedName>
    <definedName name="SummaryExistDebtOrigAmt4">#REF!</definedName>
    <definedName name="SummaryExistDebtUnpaid1">#REF!</definedName>
    <definedName name="SummaryExistDebtUnpaid2">#REF!</definedName>
    <definedName name="SummaryExistDebtUnpaid3">#REF!</definedName>
    <definedName name="SummaryExistDebtUnpaid4">#REF!</definedName>
    <definedName name="SummaryTargHHNumUnits1">#REF!</definedName>
    <definedName name="SummaryTargHHNumUnits2">#REF!</definedName>
    <definedName name="SummaryTargHHNumUnits3">#REF!</definedName>
    <definedName name="SummaryTargHHNumUnits4">#REF!</definedName>
    <definedName name="SummaryTargHHNumUnits5">#REF!</definedName>
    <definedName name="SummaryTargHHTarget1">#REF!</definedName>
    <definedName name="SummaryTargHHTarget2">#REF!</definedName>
    <definedName name="SummaryTargHHTarget3">#REF!</definedName>
    <definedName name="SummaryTargHHTarget4">#REF!</definedName>
    <definedName name="SummaryTargHHTarget5">#REF!</definedName>
    <definedName name="SummaryTotalOpSubsidy">#REF!</definedName>
    <definedName name="SummaryTotalRentAssist">#REF!</definedName>
    <definedName name="SummUnitSum0BR">#REF!</definedName>
    <definedName name="SummUnitSum1BR">#REF!</definedName>
    <definedName name="SummUnitSum2BR">#REF!</definedName>
    <definedName name="SummUnitSum3BR">#REF!</definedName>
    <definedName name="SummUnitSum4BR">#REF!</definedName>
    <definedName name="SummUnitSum5BR">#REF!</definedName>
    <definedName name="SummUnitSum6BR">#REF!</definedName>
    <definedName name="SummUnitSumBed">#REF!</definedName>
    <definedName name="SummUnitSummEmplOcc">#REF!</definedName>
    <definedName name="SummUnitSummHome">#REF!</definedName>
    <definedName name="SummUnitSummHTC">#REF!</definedName>
    <definedName name="SummUnitSummLTH">#REF!</definedName>
    <definedName name="SummUnitSummMarket">#REF!</definedName>
    <definedName name="SummUnitSummOpSubs">#REF!</definedName>
    <definedName name="SummUnitSummOwnOcc">#REF!</definedName>
    <definedName name="SummUnitSummRentAssist">#REF!</definedName>
    <definedName name="Table_beg_bal">#REF!</definedName>
    <definedName name="Table_prior_interest">#REF!</definedName>
    <definedName name="tabWidthStartRange">#REF!</definedName>
    <definedName name="TaxCredArchite">#REF!</definedName>
    <definedName name="TaxCredDevelop">#REF!</definedName>
    <definedName name="TaxCredGeneralPart1">#REF!</definedName>
    <definedName name="TaxCredGeneralPart2">#REF!</definedName>
    <definedName name="TaxCredGeneralPart3">#REF!</definedName>
    <definedName name="TaxCreditsOfferedNo">#REF!</definedName>
    <definedName name="TaxCreditsOfferedYes">#REF!</definedName>
    <definedName name="TaxCredManagem">#REF!</definedName>
    <definedName name="TaxCredOwnerM">#REF!</definedName>
    <definedName name="TaxCredProject">#REF!</definedName>
    <definedName name="TaxCredService">#REF!</definedName>
    <definedName name="TaxCredTaxCred">#REF!</definedName>
    <definedName name="TenPaidUtilLookup">#REF!</definedName>
    <definedName name="TenYrCrGap">#REF!</definedName>
    <definedName name="Term_in_years">#REF!</definedName>
    <definedName name="Total_payments" localSheetId="16">Payments_per_year*Term_in_years</definedName>
    <definedName name="Total_payments" localSheetId="15">Payments_per_year*Term_in_years</definedName>
    <definedName name="Total_payments">Payments_per_year*Term_in_years</definedName>
    <definedName name="TotalHTCSqFt" localSheetId="15">#REF!</definedName>
    <definedName name="TotalHTCSqFt">#REF!</definedName>
    <definedName name="TotalHTCUnits" localSheetId="15">#REF!</definedName>
    <definedName name="TotalHTCUnits">#REF!</definedName>
    <definedName name="TotalNonHTCSqFt" localSheetId="15">#REF!</definedName>
    <definedName name="TotalNonHTCSqFt">#REF!</definedName>
    <definedName name="TotalNonHTCUnits">#REF!</definedName>
    <definedName name="TypeOfConstructionLookup">#REF!</definedName>
    <definedName name="TypeOfCreditsLookup">#REF!</definedName>
    <definedName name="TypeOfOfferingPrivate">#REF!</definedName>
    <definedName name="TypeOfOfferingPublic">#REF!</definedName>
    <definedName name="U10A4">#REF!</definedName>
    <definedName name="U10B1e">#REF!</definedName>
    <definedName name="U10B1j">#REF!</definedName>
    <definedName name="U10B2h">#REF!</definedName>
    <definedName name="U10B2m">#REF!</definedName>
    <definedName name="U10BTotal">#REF!</definedName>
    <definedName name="U10C1a">#REF!</definedName>
    <definedName name="U10C1b">#REF!</definedName>
    <definedName name="U10C1t">#REF!</definedName>
    <definedName name="U10C2d">#REF!</definedName>
    <definedName name="U10C2e">#REF!</definedName>
    <definedName name="U10C2j">#REF!</definedName>
    <definedName name="U10D">#REF!</definedName>
    <definedName name="U10Years">#REF!</definedName>
    <definedName name="U2A1">#REF!</definedName>
    <definedName name="U402Stat">#REF!</definedName>
    <definedName name="U8B1">#REF!</definedName>
    <definedName name="U8B5">#REF!</definedName>
    <definedName name="U8C1">#REF!</definedName>
    <definedName name="U8C2">#REF!</definedName>
    <definedName name="U8C3">#REF!</definedName>
    <definedName name="U8C9">#REF!</definedName>
    <definedName name="U8E2">#REF!</definedName>
    <definedName name="U8E5">#REF!</definedName>
    <definedName name="U8G1h">#REF!</definedName>
    <definedName name="U8G2o">#REF!</definedName>
    <definedName name="U8G3d">#REF!</definedName>
    <definedName name="U8H">#REF!</definedName>
    <definedName name="U8I2">#REF!</definedName>
    <definedName name="U8I3">#REF!</definedName>
    <definedName name="U8I4">#REF!</definedName>
    <definedName name="U9A">#REF!</definedName>
    <definedName name="U9C">#REF!</definedName>
    <definedName name="U9D3">#REF!</definedName>
    <definedName name="U9E">#REF!</definedName>
    <definedName name="U9F2">#REF!</definedName>
    <definedName name="U9F3">#REF!</definedName>
    <definedName name="U9F4">#REF!</definedName>
    <definedName name="UAcqRelated">#REF!</definedName>
    <definedName name="UAcqUnrelated">#REF!</definedName>
    <definedName name="UAcqWith">#REF!</definedName>
    <definedName name="UAcqWithout">#REF!</definedName>
    <definedName name="UActAcq">#REF!</definedName>
    <definedName name="UActConv">#REF!</definedName>
    <definedName name="UActDemo">#REF!</definedName>
    <definedName name="UActHP">#REF!</definedName>
    <definedName name="UActNC">#REF!</definedName>
    <definedName name="UActOther">#REF!</definedName>
    <definedName name="UActRefin">#REF!</definedName>
    <definedName name="UActRehab">#REF!</definedName>
    <definedName name="UAddress">#REF!</definedName>
    <definedName name="UAdminSqFt">#REF!</definedName>
    <definedName name="UAirCon">#REF!</definedName>
    <definedName name="UAnnex">#REF!</definedName>
    <definedName name="UApp4dPercent">#REF!</definedName>
    <definedName name="UAppAandM">#REF!</definedName>
    <definedName name="UAppACRep">#REF!</definedName>
    <definedName name="UAppAudit">#REF!</definedName>
    <definedName name="UAppBadDebt">#REF!</definedName>
    <definedName name="UAppConAdj">#REF!</definedName>
    <definedName name="UAppDCR">#REF!</definedName>
    <definedName name="UAppElectric">#REF!</definedName>
    <definedName name="UAppElevator">#REF!</definedName>
    <definedName name="UAppERC">#REF!</definedName>
    <definedName name="UAppExtermin">#REF!</definedName>
    <definedName name="UAppFSD">#REF!</definedName>
    <definedName name="UAppGasOil">#REF!</definedName>
    <definedName name="UAppGrounds">#REF!</definedName>
    <definedName name="UAppInsurance">#REF!</definedName>
    <definedName name="UAppIntIncome">#REF!</definedName>
    <definedName name="UAppIRP">#REF!</definedName>
    <definedName name="UAppJanitor">#REF!</definedName>
    <definedName name="UAppLegal">#REF!</definedName>
    <definedName name="UAppMaintPay">#REF!</definedName>
    <definedName name="UAppMaintSup">#REF!</definedName>
    <definedName name="UAppMarkVal">#REF!</definedName>
    <definedName name="UAppMaxMorgAmort">#REF!</definedName>
    <definedName name="UAppMaxMOrgRate">#REF!</definedName>
    <definedName name="UAppMaxMorgTerm">#REF!</definedName>
    <definedName name="UAppMgmtFee">#REF!</definedName>
    <definedName name="UAppMiscIncome">#REF!</definedName>
    <definedName name="UAppNo">#REF!</definedName>
    <definedName name="UAppOI1Income">#REF!</definedName>
    <definedName name="UAppOI2Income">#REF!</definedName>
    <definedName name="UAppOtherAdm">#REF!</definedName>
    <definedName name="UAppOtherConServ">#REF!</definedName>
    <definedName name="UAppOtherMaint">#REF!</definedName>
    <definedName name="UAppOtherStuff">#REF!</definedName>
    <definedName name="UAppOutofService">#REF!</definedName>
    <definedName name="UAppPaint">#REF!</definedName>
    <definedName name="UAppPhone">#REF!</definedName>
    <definedName name="UAppRepServ">#REF!</definedName>
    <definedName name="UAppRETaxes">#REF!</definedName>
    <definedName name="UAppRubbish">#REF!</definedName>
    <definedName name="UAppSitePay">#REF!</definedName>
    <definedName name="UAppSnow">#REF!</definedName>
    <definedName name="UAppSubLenderADS1">#REF!</definedName>
    <definedName name="UAppSubLenderADS2">#REF!</definedName>
    <definedName name="UAppSubLenderADS3">#REF!</definedName>
    <definedName name="UAppSubLenderADS4">#REF!</definedName>
    <definedName name="UAppSubLenderADS5">#REF!</definedName>
    <definedName name="UAppSubLenderADS6">#REF!</definedName>
    <definedName name="UAppSubLenderPV1">#REF!</definedName>
    <definedName name="UAppSubLenderPV2">#REF!</definedName>
    <definedName name="UAppSubLenderPV3">#REF!</definedName>
    <definedName name="UAppSubLenderRate1">#REF!</definedName>
    <definedName name="UAppSubLenderRate2">#REF!</definedName>
    <definedName name="UAppSubLenderRate3">#REF!</definedName>
    <definedName name="UAppSubLenderT1">#REF!</definedName>
    <definedName name="UAppSubLenderT2">#REF!</definedName>
    <definedName name="UAppSubLenderT3">#REF!</definedName>
    <definedName name="UAppSubLenderTerm1">#REF!</definedName>
    <definedName name="UAppSubLenderTerm2">#REF!</definedName>
    <definedName name="UAppTenantFees">#REF!</definedName>
    <definedName name="UAppTIFIncome">#REF!</definedName>
    <definedName name="UAppWaterSewer">#REF!</definedName>
    <definedName name="UASqFt">#REF!</definedName>
    <definedName name="UAType">#REF!</definedName>
    <definedName name="UAUnits">#REF!</definedName>
    <definedName name="UBondsIssued">#REF!</definedName>
    <definedName name="UBSqFt">#REF!</definedName>
    <definedName name="UBType">#REF!</definedName>
    <definedName name="UBUnits">#REF!</definedName>
    <definedName name="UCensusDist">#REF!</definedName>
    <definedName name="UCity">#REF!</definedName>
    <definedName name="UComprehensive">#REF!</definedName>
    <definedName name="UCondUse">#REF!</definedName>
    <definedName name="UCounty">#REF!</definedName>
    <definedName name="UCoveredParkFee">#REF!</definedName>
    <definedName name="UDeferred1">#REF!</definedName>
    <definedName name="UDeferred10">#REF!</definedName>
    <definedName name="UDeferred11">#REF!</definedName>
    <definedName name="UDeferred12">#REF!</definedName>
    <definedName name="UDeferred13">#REF!</definedName>
    <definedName name="UDeferred14">#REF!</definedName>
    <definedName name="UDeferred15">#REF!</definedName>
    <definedName name="UDeferred3">#REF!</definedName>
    <definedName name="UDeferred4">#REF!</definedName>
    <definedName name="UDeferred6">#REF!</definedName>
    <definedName name="UDeferred7">#REF!</definedName>
    <definedName name="UDeferred8">#REF!</definedName>
    <definedName name="UDeferred9">#REF!</definedName>
    <definedName name="UDevA1">#REF!</definedName>
    <definedName name="UDevA2tc">#REF!</definedName>
    <definedName name="UDevAccStruc">#REF!</definedName>
    <definedName name="UDevB1a">#REF!</definedName>
    <definedName name="UDevB1b">#REF!</definedName>
    <definedName name="UDevB1d">#REF!</definedName>
    <definedName name="UDevB1f">#REF!</definedName>
    <definedName name="UDevB1g">#REF!</definedName>
    <definedName name="UDevB1h">#REF!</definedName>
    <definedName name="UDevB1k">#REF!</definedName>
    <definedName name="UDevB2a">#REF!</definedName>
    <definedName name="UDevB2b">#REF!</definedName>
    <definedName name="UDevB2c">#REF!</definedName>
    <definedName name="UDevB2d">#REF!</definedName>
    <definedName name="UDevB2e">#REF!</definedName>
    <definedName name="UDevB2i">#REF!</definedName>
    <definedName name="UDevB2j">#REF!</definedName>
    <definedName name="UDevB2k">#REF!</definedName>
    <definedName name="UDevB2n">#REF!</definedName>
    <definedName name="UDevC1b">#REF!</definedName>
    <definedName name="UDevC1f">#REF!</definedName>
    <definedName name="UDevC1g">#REF!</definedName>
    <definedName name="UDevC1h">#REF!</definedName>
    <definedName name="UDevC1i">#REF!</definedName>
    <definedName name="UDevC1j">#REF!</definedName>
    <definedName name="UDevC1jtc">#REF!</definedName>
    <definedName name="UDevC1k">#REF!</definedName>
    <definedName name="UDevC1l">#REF!</definedName>
    <definedName name="UDevC1n">#REF!</definedName>
    <definedName name="UDevC1o">#REF!</definedName>
    <definedName name="UDevC1q">#REF!</definedName>
    <definedName name="UDevC1r">#REF!</definedName>
    <definedName name="UDevC1s">#REF!</definedName>
    <definedName name="UDevC2a3">#REF!</definedName>
    <definedName name="UDevC2b">#REF!</definedName>
    <definedName name="UDevC2c">#REF!</definedName>
    <definedName name="UDevC2g">#REF!</definedName>
    <definedName name="UDevC2h">#REF!</definedName>
    <definedName name="UDevDevTotal">#REF!</definedName>
    <definedName name="UDevEnvirTotal">#REF!</definedName>
    <definedName name="UDevExistStruc">#REF!</definedName>
    <definedName name="UDevExistStructc">#REF!</definedName>
    <definedName name="UDevMarkStudy">#REF!</definedName>
    <definedName name="UDevOtherConFee">#REF!</definedName>
    <definedName name="UDevOtherInspFee">#REF!</definedName>
    <definedName name="UDevOtherOrgFee">#REF!</definedName>
    <definedName name="UDevRehabTotal">#REF!</definedName>
    <definedName name="UDevTDC">#REF!</definedName>
    <definedName name="UDevTotalNonMort">#REF!</definedName>
    <definedName name="UDevTotalSynFees">#REF!</definedName>
    <definedName name="UDiffDev">#REF!</definedName>
    <definedName name="UEqD10a">#REF!</definedName>
    <definedName name="UEqD10b">#REF!</definedName>
    <definedName name="UEqD10c">#REF!</definedName>
    <definedName name="UEqD10d">#REF!</definedName>
    <definedName name="UEqD10e">#REF!</definedName>
    <definedName name="UEqD10h">#REF!</definedName>
    <definedName name="UEqD11a">#REF!</definedName>
    <definedName name="UEqD11b">#REF!</definedName>
    <definedName name="UEqD11c">#REF!</definedName>
    <definedName name="UEqD11d">#REF!</definedName>
    <definedName name="UEqD11e">#REF!</definedName>
    <definedName name="UEqD11h">#REF!</definedName>
    <definedName name="UEqD12a">#REF!</definedName>
    <definedName name="UEqD12b">#REF!</definedName>
    <definedName name="UEqD12c">#REF!</definedName>
    <definedName name="UEqD12d">#REF!</definedName>
    <definedName name="UEqD12e">#REF!</definedName>
    <definedName name="UEqD12h">#REF!</definedName>
    <definedName name="UEqD13a">#REF!</definedName>
    <definedName name="UEqD13b">#REF!</definedName>
    <definedName name="UEqD13c">#REF!</definedName>
    <definedName name="UEqD13d">#REF!</definedName>
    <definedName name="UEqD13e">#REF!</definedName>
    <definedName name="UEqD13h">#REF!</definedName>
    <definedName name="UEqD14a">#REF!</definedName>
    <definedName name="UEqD14b">#REF!</definedName>
    <definedName name="UEqD14c">#REF!</definedName>
    <definedName name="UEqD14d">#REF!</definedName>
    <definedName name="UEqD14e">#REF!</definedName>
    <definedName name="UEqD14h">#REF!</definedName>
    <definedName name="UEqD15a">#REF!</definedName>
    <definedName name="UEqD15b">#REF!</definedName>
    <definedName name="UEqD15c">#REF!</definedName>
    <definedName name="UEqD15d">#REF!</definedName>
    <definedName name="UEqD15e">#REF!</definedName>
    <definedName name="UEqD15h">#REF!</definedName>
    <definedName name="UEqD1b">#REF!</definedName>
    <definedName name="UEqD1c">#REF!</definedName>
    <definedName name="UEqD1d">#REF!</definedName>
    <definedName name="UEqD1e">#REF!</definedName>
    <definedName name="UEqD1h">#REF!</definedName>
    <definedName name="UEqD2d">#REF!</definedName>
    <definedName name="UEqD2e">#REF!</definedName>
    <definedName name="UEqD2h">#REF!</definedName>
    <definedName name="UEqD3a">#REF!</definedName>
    <definedName name="UEqD3b">#REF!</definedName>
    <definedName name="UEqD3c">#REF!</definedName>
    <definedName name="UEqD3d">#REF!</definedName>
    <definedName name="UEqD3e">#REF!</definedName>
    <definedName name="UEqD3h">#REF!</definedName>
    <definedName name="UEqD4a">#REF!</definedName>
    <definedName name="UEqD4b">#REF!</definedName>
    <definedName name="UEqD4c">#REF!</definedName>
    <definedName name="UEqD4d">#REF!</definedName>
    <definedName name="UEqD4e">#REF!</definedName>
    <definedName name="UEqD4h">#REF!</definedName>
    <definedName name="UEqD5d">#REF!</definedName>
    <definedName name="UEqD5e">#REF!</definedName>
    <definedName name="UEqD5h">#REF!</definedName>
    <definedName name="UEqD6a">#REF!</definedName>
    <definedName name="UEqD6b">#REF!</definedName>
    <definedName name="UEqD6c">#REF!</definedName>
    <definedName name="UEqD6d">#REF!</definedName>
    <definedName name="UEqD6e">#REF!</definedName>
    <definedName name="UEqD6h">#REF!</definedName>
    <definedName name="UEqD7a">#REF!</definedName>
    <definedName name="UEqD7b">#REF!</definedName>
    <definedName name="UEqD7c">#REF!</definedName>
    <definedName name="UEqD7d">#REF!</definedName>
    <definedName name="UEqD7e">#REF!</definedName>
    <definedName name="UEqD7h">#REF!</definedName>
    <definedName name="UEqD8a">#REF!</definedName>
    <definedName name="UEqD8b">#REF!</definedName>
    <definedName name="UEqD8c">#REF!</definedName>
    <definedName name="UEqD8d">#REF!</definedName>
    <definedName name="UEqD8e">#REF!</definedName>
    <definedName name="UEqD8h">#REF!</definedName>
    <definedName name="UEqD9a">#REF!</definedName>
    <definedName name="UEqD9b">#REF!</definedName>
    <definedName name="UEqD9c">#REF!</definedName>
    <definedName name="UEqD9d">#REF!</definedName>
    <definedName name="UEqD9e">#REF!</definedName>
    <definedName name="UEqD9h">#REF!</definedName>
    <definedName name="UExemptBond">#REF!</definedName>
    <definedName name="UExistCD">#REF!</definedName>
    <definedName name="UExistMort">#REF!</definedName>
    <definedName name="UExistNone">#REF!</definedName>
    <definedName name="UExistOther">#REF!</definedName>
    <definedName name="UExistOtherSpec">#REF!</definedName>
    <definedName name="UExistStat">#REF!</definedName>
    <definedName name="UForeclosure">#REF!</definedName>
    <definedName name="UGenPartner2FID">#REF!</definedName>
    <definedName name="UGenPartner3FID">#REF!</definedName>
    <definedName name="UGenPartner4FID">#REF!</definedName>
    <definedName name="UGenPartner5FID">#REF!</definedName>
    <definedName name="UGenPartnerFID">#REF!</definedName>
    <definedName name="UGRP">#REF!</definedName>
    <definedName name="UHeat">#REF!</definedName>
    <definedName name="UHhElec">#REF!</definedName>
    <definedName name="UHistoric">#REF!</definedName>
    <definedName name="UHOMEFund">#REF!</definedName>
    <definedName name="UHOMEFundElect">#REF!</definedName>
    <definedName name="UHotWater">#REF!</definedName>
    <definedName name="UHTCGap1">#REF!</definedName>
    <definedName name="UHTCGap10">#REF!</definedName>
    <definedName name="UHTCGap11">#REF!</definedName>
    <definedName name="UHTCGap12">#REF!</definedName>
    <definedName name="UHTCGap13">#REF!</definedName>
    <definedName name="UHTCGap14">#REF!</definedName>
    <definedName name="UHTCGap15">#REF!</definedName>
    <definedName name="UHTCGap3">#REF!</definedName>
    <definedName name="UHTCGap4">#REF!</definedName>
    <definedName name="UHTCGap6">#REF!</definedName>
    <definedName name="UHTCGap7">#REF!</definedName>
    <definedName name="UHTCGap8">#REF!</definedName>
    <definedName name="UHTCGap9">#REF!</definedName>
    <definedName name="UHTCNo">#REF!</definedName>
    <definedName name="UHTCTaintScource2">#REF!</definedName>
    <definedName name="UIntOfIdentity">#REF!</definedName>
    <definedName name="UManDesignFee">#REF!</definedName>
    <definedName name="UManMaxROI">#REF!</definedName>
    <definedName name="UManMort">#REF!</definedName>
    <definedName name="UManTotBldgs">#REF!</definedName>
    <definedName name="UMinSetAside">#REF!</definedName>
    <definedName name="UMortgageReq">#REF!</definedName>
    <definedName name="UName">#REF!</definedName>
    <definedName name="UNCOther1">#REF!</definedName>
    <definedName name="UNCOther2">#REF!</definedName>
    <definedName name="UNCWith">#REF!</definedName>
    <definedName name="UNCWithout">#REF!</definedName>
    <definedName name="Unique1">#REF!</definedName>
    <definedName name="Unit_Count_ranges">#REF!</definedName>
    <definedName name="UnitTypeLookup">#REF!</definedName>
    <definedName name="UNonMort1">#REF!</definedName>
    <definedName name="UNonMort2">#REF!</definedName>
    <definedName name="UNonMort3">#REF!</definedName>
    <definedName name="UNonMortSpec1">#REF!</definedName>
    <definedName name="UNonMortSpec2">#REF!</definedName>
    <definedName name="UNonMortSpec3">#REF!</definedName>
    <definedName name="UOrgCBO">#REF!</definedName>
    <definedName name="UOrgCHDO">#REF!</definedName>
    <definedName name="UOrgFP">#REF!</definedName>
    <definedName name="UOrgGov">#REF!</definedName>
    <definedName name="UOrgHRA">#REF!</definedName>
    <definedName name="UOrgInd">#REF!</definedName>
    <definedName name="UOrgLP">#REF!</definedName>
    <definedName name="UOrgNP">#REF!</definedName>
    <definedName name="UOrgOther">#REF!</definedName>
    <definedName name="UOther">#REF!</definedName>
    <definedName name="UPartDev">#REF!</definedName>
    <definedName name="UPartnershipContact">#REF!</definedName>
    <definedName name="UPartnershipName">#REF!</definedName>
    <definedName name="UPop9">#REF!</definedName>
    <definedName name="UPopMFIP">#REF!</definedName>
    <definedName name="UPreserve">#REF!</definedName>
    <definedName name="UPrevApply">#REF!</definedName>
    <definedName name="UPrevFunded">#REF!</definedName>
    <definedName name="UPrivate">#REF!</definedName>
    <definedName name="UProgNRP">#REF!</definedName>
    <definedName name="UProgOther">#REF!</definedName>
    <definedName name="UProgPUD">#REF!</definedName>
    <definedName name="UProgSqFt">#REF!</definedName>
    <definedName name="UProgTIF">#REF!</definedName>
    <definedName name="UPropAgentCaretaker">#REF!</definedName>
    <definedName name="UPropAgentStat">#REF!</definedName>
    <definedName name="UPublic">#REF!</definedName>
    <definedName name="UPurp1">#REF!</definedName>
    <definedName name="URehabWaiver">#REF!</definedName>
    <definedName name="URentDataC">#REF!</definedName>
    <definedName name="URentSubsidy">#REF!</definedName>
    <definedName name="URooms">#REF!</definedName>
    <definedName name="UScattered">#REF!</definedName>
    <definedName name="USDBB">#REF!</definedName>
    <definedName name="Uses_designation">#REF!</definedName>
    <definedName name="USetaside">#REF!</definedName>
    <definedName name="USf">#REF!</definedName>
    <definedName name="USiteAcres">#REF!</definedName>
    <definedName name="USiteControl">#REF!</definedName>
    <definedName name="UStable">#REF!</definedName>
    <definedName name="UTaint">#REF!</definedName>
    <definedName name="UTaintElect">#REF!</definedName>
    <definedName name="UTaintElect2">#REF!</definedName>
    <definedName name="UTC10YearGross">#REF!</definedName>
    <definedName name="UTCAdjustedBasis">#REF!</definedName>
    <definedName name="UTCAppPercentb">#REF!</definedName>
    <definedName name="UTCApprovedAmount">#REF!</definedName>
    <definedName name="UTCBldga">#REF!</definedName>
    <definedName name="UTCBondLine1">#REF!</definedName>
    <definedName name="UTCBondLine2">#REF!</definedName>
    <definedName name="UTCBondLine3">#REF!</definedName>
    <definedName name="UTCCreditsApply">#REF!</definedName>
    <definedName name="UTCCreditsRec">#REF!</definedName>
    <definedName name="UTCEquityFactor">#REF!</definedName>
    <definedName name="UTCGranta">#REF!</definedName>
    <definedName name="UTCGrantb">#REF!</definedName>
    <definedName name="UTCPayin1">#REF!</definedName>
    <definedName name="UTCPayin2">#REF!</definedName>
    <definedName name="UTCPayin3">#REF!</definedName>
    <definedName name="UTCPrevCredits">#REF!</definedName>
    <definedName name="UTCPropa">#REF!</definedName>
    <definedName name="UTCStage">#REF!</definedName>
    <definedName name="UTCTaintAmount">#REF!</definedName>
    <definedName name="UTCTaintAmount2">#REF!</definedName>
    <definedName name="UTCTaintSource">#REF!</definedName>
    <definedName name="UTotalInterCosts">#REF!</definedName>
    <definedName name="UTotalSources">#REF!</definedName>
    <definedName name="UUASource">#REF!</definedName>
    <definedName name="UUnits">#REF!</definedName>
    <definedName name="UUnits2" localSheetId="16">[2]App!$B$321</definedName>
    <definedName name="UUnits2" localSheetId="15">#REF!</definedName>
    <definedName name="UUnits2">#REF!</definedName>
    <definedName name="UUtilElec" localSheetId="15">#REF!</definedName>
    <definedName name="UUtilElec">#REF!</definedName>
    <definedName name="UUtilGas" localSheetId="15">#REF!</definedName>
    <definedName name="UUtilGas">#REF!</definedName>
    <definedName name="UUtilOffsiteImprov">#REF!</definedName>
    <definedName name="UUtilSewer">#REF!</definedName>
    <definedName name="UUtilWater">#REF!</definedName>
    <definedName name="UVac">#REF!</definedName>
    <definedName name="UWatSew">#REF!</definedName>
    <definedName name="UZip">#REF!</definedName>
    <definedName name="UZoningComply">#REF!</definedName>
    <definedName name="YesNoDropdown">#REF!</definedName>
    <definedName name="yyy33">#REF!</definedName>
    <definedName name="yyy34">#REF!</definedName>
    <definedName name="yyy35">#REF!</definedName>
    <definedName name="yyy36">#REF!</definedName>
    <definedName name="yyy37">#REF!</definedName>
    <definedName name="yyy38">#REF!</definedName>
    <definedName name="zComServ">#REF!</definedName>
    <definedName name="zOtherSqft">#REF!</definedName>
    <definedName name="zParkingReq">#REF!</definedName>
    <definedName name="zpop16">#REF!</definedName>
    <definedName name="zPop16a">#REF!</definedName>
    <definedName name="zPop7">#REF!</definedName>
    <definedName name="zPurp12">#REF!</definedName>
    <definedName name="zPurpO3">#REF!</definedName>
    <definedName name="zPurpO3Spec">#REF!</definedName>
    <definedName name="zScoreElect">#REF!</definedName>
    <definedName name="ZTQB30">#REF!</definedName>
    <definedName name="zTQB70">#REF!</definedName>
    <definedName name="zzzDU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 i="25" l="1"/>
  <c r="W4" i="25" s="1"/>
  <c r="X4" i="25" s="1"/>
  <c r="Y4" i="25" s="1"/>
  <c r="Z4" i="25" s="1"/>
  <c r="AA4" i="25" s="1"/>
  <c r="AB4" i="25" s="1"/>
  <c r="AC4" i="25" s="1"/>
  <c r="AD4" i="25" s="1"/>
  <c r="AE4" i="25" s="1"/>
  <c r="AF4" i="25" s="1"/>
  <c r="AG4" i="25" s="1"/>
  <c r="AH4" i="25" s="1"/>
  <c r="AI4" i="25" s="1"/>
  <c r="AJ4" i="25" s="1"/>
  <c r="AK4" i="25" s="1"/>
  <c r="V22" i="25"/>
  <c r="W22" i="25"/>
  <c r="X22" i="25"/>
  <c r="Y22" i="25"/>
  <c r="Z22" i="25"/>
  <c r="AA22" i="25"/>
  <c r="AB22" i="25"/>
  <c r="AC22" i="25"/>
  <c r="AD22" i="25"/>
  <c r="AE22" i="25"/>
  <c r="AF22" i="25"/>
  <c r="AG22" i="25"/>
  <c r="AH22" i="25"/>
  <c r="AI22" i="25"/>
  <c r="AJ22" i="25"/>
  <c r="AK22" i="25"/>
  <c r="V24" i="25"/>
  <c r="V25" i="25"/>
  <c r="V26" i="25"/>
  <c r="V48" i="25"/>
  <c r="W48" i="25"/>
  <c r="X48" i="25"/>
  <c r="Y48" i="25"/>
  <c r="Z48" i="25"/>
  <c r="AA48" i="25"/>
  <c r="AB48" i="25"/>
  <c r="AC48" i="25"/>
  <c r="AD48" i="25"/>
  <c r="AE48" i="25"/>
  <c r="AF48" i="25"/>
  <c r="AG48" i="25"/>
  <c r="AH48" i="25"/>
  <c r="AI48" i="25"/>
  <c r="AJ48" i="25"/>
  <c r="AK48" i="25"/>
  <c r="V55" i="25"/>
  <c r="V56" i="25"/>
  <c r="V57" i="25"/>
  <c r="V58" i="25"/>
  <c r="V60" i="25"/>
  <c r="V61" i="25"/>
  <c r="V62" i="25"/>
  <c r="W24" i="25" s="1"/>
  <c r="V68" i="25"/>
  <c r="V69" i="25"/>
  <c r="V70" i="25"/>
  <c r="V71" i="25"/>
  <c r="V73" i="25"/>
  <c r="W56" i="25" s="1"/>
  <c r="B13" i="27"/>
  <c r="B42" i="27"/>
  <c r="B19" i="27"/>
  <c r="B18" i="27"/>
  <c r="B17" i="27"/>
  <c r="F30" i="29"/>
  <c r="I30" i="29"/>
  <c r="J30" i="29"/>
  <c r="K30" i="29"/>
  <c r="L30" i="29"/>
  <c r="M30" i="29"/>
  <c r="N30" i="29"/>
  <c r="O30" i="29"/>
  <c r="P30" i="29"/>
  <c r="Q30" i="29"/>
  <c r="R30" i="29"/>
  <c r="S30" i="29"/>
  <c r="T30" i="29"/>
  <c r="U30" i="29"/>
  <c r="V30" i="29"/>
  <c r="W30" i="29"/>
  <c r="X30" i="29"/>
  <c r="Y30" i="29"/>
  <c r="Z30" i="29"/>
  <c r="AA30" i="29"/>
  <c r="AB30" i="29"/>
  <c r="AC30" i="29"/>
  <c r="AD30" i="29"/>
  <c r="AE30" i="29"/>
  <c r="AF30" i="29"/>
  <c r="AG30" i="29"/>
  <c r="J33" i="19"/>
  <c r="J32" i="19"/>
  <c r="J31" i="19"/>
  <c r="J30" i="19"/>
  <c r="J29" i="19"/>
  <c r="J28" i="19"/>
  <c r="J27" i="19"/>
  <c r="J26" i="19"/>
  <c r="J25" i="19"/>
  <c r="J24" i="19"/>
  <c r="J23" i="19"/>
  <c r="J22" i="19"/>
  <c r="J21" i="19"/>
  <c r="J20" i="19"/>
  <c r="J19" i="19"/>
  <c r="B20" i="27"/>
  <c r="D29" i="27"/>
  <c r="C29" i="27"/>
  <c r="AG29" i="29"/>
  <c r="AF29" i="29"/>
  <c r="AE29" i="29"/>
  <c r="AD29" i="29"/>
  <c r="AC29" i="29"/>
  <c r="AB29" i="29"/>
  <c r="AA29" i="29"/>
  <c r="Z29" i="29"/>
  <c r="Y29" i="29"/>
  <c r="X29" i="29"/>
  <c r="W29" i="29"/>
  <c r="V29" i="29"/>
  <c r="U29" i="29"/>
  <c r="T29" i="29"/>
  <c r="S29" i="29"/>
  <c r="R29" i="29"/>
  <c r="Q29" i="29"/>
  <c r="P29" i="29"/>
  <c r="O29" i="29"/>
  <c r="N29" i="29"/>
  <c r="M29" i="29"/>
  <c r="L29" i="29"/>
  <c r="K29" i="29"/>
  <c r="J29" i="29"/>
  <c r="I29" i="29"/>
  <c r="F29" i="29"/>
  <c r="E29" i="29"/>
  <c r="E30" i="29" s="1"/>
  <c r="AI28" i="29"/>
  <c r="AJ28" i="29" s="1"/>
  <c r="G28" i="29"/>
  <c r="H28" i="29" s="1"/>
  <c r="AI27" i="29"/>
  <c r="AJ27" i="29" s="1"/>
  <c r="G27" i="29"/>
  <c r="H27" i="29" s="1"/>
  <c r="AI26" i="29"/>
  <c r="AJ26" i="29" s="1"/>
  <c r="G26" i="29"/>
  <c r="H26" i="29" s="1"/>
  <c r="AI25" i="29"/>
  <c r="AJ25" i="29" s="1"/>
  <c r="G25" i="29"/>
  <c r="H25" i="29" s="1"/>
  <c r="AI24" i="29"/>
  <c r="AJ24" i="29" s="1"/>
  <c r="G24" i="29"/>
  <c r="H24" i="29" s="1"/>
  <c r="F23" i="29"/>
  <c r="E23" i="29"/>
  <c r="AI20" i="29"/>
  <c r="AJ20" i="29" s="1"/>
  <c r="AG20" i="29"/>
  <c r="AF20" i="29"/>
  <c r="AE20" i="29"/>
  <c r="AD20" i="29"/>
  <c r="AC20" i="29"/>
  <c r="AB20" i="29"/>
  <c r="AA20" i="29"/>
  <c r="Z20" i="29"/>
  <c r="Y20" i="29"/>
  <c r="X20" i="29"/>
  <c r="W20" i="29"/>
  <c r="V20" i="29"/>
  <c r="U20" i="29"/>
  <c r="T20" i="29"/>
  <c r="S20" i="29"/>
  <c r="R20" i="29"/>
  <c r="Q20" i="29"/>
  <c r="P20" i="29"/>
  <c r="O20" i="29"/>
  <c r="N20" i="29"/>
  <c r="M20" i="29"/>
  <c r="L20" i="29"/>
  <c r="K20" i="29"/>
  <c r="J20" i="29"/>
  <c r="I20" i="29"/>
  <c r="F20" i="29"/>
  <c r="E20" i="29"/>
  <c r="AI19" i="29"/>
  <c r="AJ19" i="29" s="1"/>
  <c r="H19" i="29"/>
  <c r="G19" i="29"/>
  <c r="AI18" i="29"/>
  <c r="AJ18" i="29" s="1"/>
  <c r="G18" i="29"/>
  <c r="H18" i="29" s="1"/>
  <c r="AJ17" i="29"/>
  <c r="AI17" i="29"/>
  <c r="H17" i="29"/>
  <c r="G17" i="29"/>
  <c r="AI16" i="29"/>
  <c r="AJ16" i="29" s="1"/>
  <c r="G16" i="29"/>
  <c r="H16" i="29" s="1"/>
  <c r="AI15" i="29"/>
  <c r="AJ15" i="29" s="1"/>
  <c r="H15" i="29"/>
  <c r="G15" i="29"/>
  <c r="AI14" i="29"/>
  <c r="AJ14" i="29" s="1"/>
  <c r="G14" i="29"/>
  <c r="H14" i="29" s="1"/>
  <c r="AJ13" i="29"/>
  <c r="AI13" i="29"/>
  <c r="H13" i="29"/>
  <c r="G13" i="29"/>
  <c r="AI12" i="29"/>
  <c r="AJ12" i="29" s="1"/>
  <c r="G12" i="29"/>
  <c r="H12" i="29" s="1"/>
  <c r="AI11" i="29"/>
  <c r="AJ11" i="29" s="1"/>
  <c r="H11" i="29"/>
  <c r="G11" i="29"/>
  <c r="AI10" i="29"/>
  <c r="AJ10" i="29" s="1"/>
  <c r="G10" i="29"/>
  <c r="H10" i="29" s="1"/>
  <c r="AJ9" i="29"/>
  <c r="AI9" i="29"/>
  <c r="H9" i="29"/>
  <c r="G9" i="29"/>
  <c r="AI8" i="29"/>
  <c r="AJ8" i="29" s="1"/>
  <c r="G8" i="29"/>
  <c r="H8" i="29" s="1"/>
  <c r="AI7" i="29"/>
  <c r="AJ7" i="29" s="1"/>
  <c r="H7" i="29"/>
  <c r="G7" i="29"/>
  <c r="AI6" i="29"/>
  <c r="AJ6" i="29" s="1"/>
  <c r="G6" i="29"/>
  <c r="H6" i="29" s="1"/>
  <c r="J5" i="29"/>
  <c r="K5" i="29" s="1"/>
  <c r="L5" i="29" s="1"/>
  <c r="M5" i="29" s="1"/>
  <c r="N5" i="29" s="1"/>
  <c r="O5" i="29" s="1"/>
  <c r="P5" i="29" s="1"/>
  <c r="Q5" i="29" s="1"/>
  <c r="R5" i="29" s="1"/>
  <c r="S5" i="29" s="1"/>
  <c r="T5" i="29" s="1"/>
  <c r="U5" i="29" s="1"/>
  <c r="V5" i="29" s="1"/>
  <c r="W5" i="29" s="1"/>
  <c r="X5" i="29" s="1"/>
  <c r="Y5" i="29" s="1"/>
  <c r="Z5" i="29" s="1"/>
  <c r="AA5" i="29" s="1"/>
  <c r="AB5" i="29" s="1"/>
  <c r="AC5" i="29" s="1"/>
  <c r="AD5" i="29" s="1"/>
  <c r="AE5" i="29" s="1"/>
  <c r="AF5" i="29" s="1"/>
  <c r="AG5" i="29" s="1"/>
  <c r="V74" i="25" l="1"/>
  <c r="V75" i="25" s="1"/>
  <c r="W55" i="25"/>
  <c r="G29" i="29"/>
  <c r="G30" i="29" s="1"/>
  <c r="H29" i="29"/>
  <c r="H30" i="29" s="1"/>
  <c r="H20" i="29"/>
  <c r="AI29" i="29"/>
  <c r="AJ29" i="29" s="1"/>
  <c r="AJ31" i="29" s="1"/>
  <c r="G20" i="29"/>
  <c r="W25" i="25" l="1"/>
  <c r="W26" i="25" s="1"/>
  <c r="W57" i="25" s="1"/>
  <c r="W68" i="25"/>
  <c r="BE2" i="28"/>
  <c r="AF2" i="28"/>
  <c r="B28" i="27"/>
  <c r="BU2" i="28"/>
  <c r="BT2" i="28"/>
  <c r="BI2" i="28"/>
  <c r="BH2" i="28"/>
  <c r="BG2" i="28"/>
  <c r="BF2" i="28"/>
  <c r="AI2" i="28"/>
  <c r="W70" i="25" l="1"/>
  <c r="W58" i="25"/>
  <c r="W60" i="25" s="1"/>
  <c r="W61" i="25" s="1"/>
  <c r="B29" i="27"/>
  <c r="AV2" i="28"/>
  <c r="AU2" i="28"/>
  <c r="AJ2" i="28"/>
  <c r="AH2" i="28"/>
  <c r="AG2" i="28"/>
  <c r="O2" i="28"/>
  <c r="M2" i="28"/>
  <c r="L2" i="28"/>
  <c r="K2" i="28"/>
  <c r="G2" i="28"/>
  <c r="F2" i="28"/>
  <c r="E2" i="28"/>
  <c r="D2" i="28"/>
  <c r="C2" i="28"/>
  <c r="B2" i="28"/>
  <c r="A2" i="28"/>
  <c r="H2" i="28"/>
  <c r="W69" i="25" l="1"/>
  <c r="W71" i="25" s="1"/>
  <c r="W73" i="25" s="1"/>
  <c r="W62" i="25"/>
  <c r="J2" i="28"/>
  <c r="I2" i="28"/>
  <c r="B25" i="27"/>
  <c r="B26" i="27"/>
  <c r="B59" i="27"/>
  <c r="B58" i="27"/>
  <c r="N54" i="24"/>
  <c r="M19" i="19"/>
  <c r="B6" i="27"/>
  <c r="X55" i="25" l="1"/>
  <c r="X24" i="25"/>
  <c r="W74" i="25"/>
  <c r="W75" i="25" s="1"/>
  <c r="X56" i="25"/>
  <c r="B60" i="27"/>
  <c r="B57" i="27"/>
  <c r="B56" i="27"/>
  <c r="B54" i="27"/>
  <c r="B43" i="27"/>
  <c r="I51" i="19"/>
  <c r="I52" i="19"/>
  <c r="B12" i="27"/>
  <c r="B11" i="27"/>
  <c r="B10" i="27"/>
  <c r="B9" i="27"/>
  <c r="B37" i="27"/>
  <c r="B36" i="27"/>
  <c r="B35" i="27"/>
  <c r="B34" i="27"/>
  <c r="G136" i="1"/>
  <c r="N74" i="24"/>
  <c r="X25" i="25" l="1"/>
  <c r="X26" i="25" s="1"/>
  <c r="X57" i="25" s="1"/>
  <c r="X68" i="25"/>
  <c r="B16" i="27"/>
  <c r="M132" i="1"/>
  <c r="AJ9" i="19"/>
  <c r="AF8" i="19"/>
  <c r="AF9" i="19"/>
  <c r="AF10" i="19"/>
  <c r="AF11" i="19"/>
  <c r="AF12" i="19"/>
  <c r="AF7" i="19"/>
  <c r="K45" i="19"/>
  <c r="I45" i="19"/>
  <c r="K44" i="19"/>
  <c r="I44" i="19"/>
  <c r="K43" i="19"/>
  <c r="I43" i="19"/>
  <c r="K42" i="19"/>
  <c r="I42" i="19"/>
  <c r="K41" i="19"/>
  <c r="I41" i="19"/>
  <c r="K40" i="19"/>
  <c r="I40" i="19"/>
  <c r="X70" i="25" l="1"/>
  <c r="X58" i="25"/>
  <c r="X60" i="25" s="1"/>
  <c r="X61" i="25" s="1"/>
  <c r="AJ12" i="19"/>
  <c r="AJ11" i="19"/>
  <c r="AI9" i="19"/>
  <c r="AA8" i="19" s="1"/>
  <c r="AH9" i="19"/>
  <c r="AJ10" i="19"/>
  <c r="AG9" i="19"/>
  <c r="AJ8" i="19"/>
  <c r="AL9" i="19"/>
  <c r="AC8" i="19" s="1"/>
  <c r="AK9" i="19"/>
  <c r="AB8" i="19" s="1"/>
  <c r="AJ7" i="19"/>
  <c r="F9" i="11"/>
  <c r="X62" i="25" l="1"/>
  <c r="X69" i="25"/>
  <c r="X71" i="25" s="1"/>
  <c r="X73" i="25" s="1"/>
  <c r="Z8" i="19"/>
  <c r="Y8" i="19"/>
  <c r="AH11" i="19"/>
  <c r="AH8" i="19"/>
  <c r="AH10" i="19"/>
  <c r="AH7" i="19"/>
  <c r="AH12" i="19"/>
  <c r="AG7" i="19"/>
  <c r="AG12" i="19"/>
  <c r="AG8" i="19"/>
  <c r="AG11" i="19"/>
  <c r="AG10" i="19"/>
  <c r="AI8" i="19"/>
  <c r="AA7" i="19" s="1"/>
  <c r="AI11" i="19"/>
  <c r="AA10" i="19" s="1"/>
  <c r="AI12" i="19"/>
  <c r="AA11" i="19" s="1"/>
  <c r="AI10" i="19"/>
  <c r="AA9" i="19" s="1"/>
  <c r="AL8" i="19"/>
  <c r="AC7" i="19" s="1"/>
  <c r="AL10" i="19"/>
  <c r="AC9" i="19" s="1"/>
  <c r="AL11" i="19"/>
  <c r="AC10" i="19" s="1"/>
  <c r="AL12" i="19"/>
  <c r="AC11" i="19" s="1"/>
  <c r="AL7" i="19"/>
  <c r="AC6" i="19" s="1"/>
  <c r="AK11" i="19"/>
  <c r="AB10" i="19" s="1"/>
  <c r="AK7" i="19"/>
  <c r="AB6" i="19" s="1"/>
  <c r="AK8" i="19"/>
  <c r="AB7" i="19" s="1"/>
  <c r="AK10" i="19"/>
  <c r="AB9" i="19" s="1"/>
  <c r="AK12" i="19"/>
  <c r="AB11" i="19" s="1"/>
  <c r="X74" i="25" l="1"/>
  <c r="X75" i="25" s="1"/>
  <c r="Y56" i="25"/>
  <c r="Y24" i="25"/>
  <c r="Y55" i="25"/>
  <c r="Z11" i="19"/>
  <c r="Y11" i="19"/>
  <c r="Z6" i="19"/>
  <c r="Y6" i="19"/>
  <c r="Z9" i="19"/>
  <c r="Y9" i="19"/>
  <c r="Z10" i="19"/>
  <c r="Y10" i="19"/>
  <c r="Y7" i="19"/>
  <c r="Z7" i="19"/>
  <c r="E80" i="4"/>
  <c r="A10" i="4"/>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N90" i="24"/>
  <c r="M160" i="1" s="1"/>
  <c r="M92" i="24"/>
  <c r="M95" i="24"/>
  <c r="D70" i="4" s="1"/>
  <c r="M96" i="24"/>
  <c r="Y68" i="25" l="1"/>
  <c r="Y25" i="25"/>
  <c r="Y26" i="25" s="1"/>
  <c r="Y57" i="25" s="1"/>
  <c r="G61" i="24"/>
  <c r="G133" i="1" s="1"/>
  <c r="H15" i="24"/>
  <c r="H14" i="24"/>
  <c r="H13" i="24"/>
  <c r="H12" i="24"/>
  <c r="Y70" i="25" l="1"/>
  <c r="Y58" i="25"/>
  <c r="Y60" i="25" s="1"/>
  <c r="Y61" i="25" s="1"/>
  <c r="AJ37" i="20"/>
  <c r="AJ30" i="20"/>
  <c r="I53" i="19"/>
  <c r="I54" i="19" s="1"/>
  <c r="K39" i="19"/>
  <c r="I39" i="19"/>
  <c r="C39" i="19"/>
  <c r="C40" i="19"/>
  <c r="C41" i="19"/>
  <c r="C42" i="19"/>
  <c r="C43" i="19"/>
  <c r="C38" i="19"/>
  <c r="Y62" i="25" l="1"/>
  <c r="Y69" i="25"/>
  <c r="Y71" i="25" s="1"/>
  <c r="Y73" i="25" s="1"/>
  <c r="I55" i="19"/>
  <c r="K46" i="19"/>
  <c r="L47" i="19" s="1"/>
  <c r="C44" i="19"/>
  <c r="D39" i="19" s="1"/>
  <c r="I46" i="19"/>
  <c r="Y74" i="25" l="1"/>
  <c r="Y75" i="25" s="1"/>
  <c r="Z56" i="25"/>
  <c r="Z24" i="25"/>
  <c r="Z55" i="25"/>
  <c r="J47" i="19"/>
  <c r="D42" i="19"/>
  <c r="D43" i="19"/>
  <c r="D38" i="19"/>
  <c r="D40" i="19"/>
  <c r="D41" i="19"/>
  <c r="Z25" i="25" l="1"/>
  <c r="Z26" i="25" s="1"/>
  <c r="Z57" i="25" s="1"/>
  <c r="Z68" i="25"/>
  <c r="D44" i="19"/>
  <c r="Z70" i="25" l="1"/>
  <c r="Z58" i="25"/>
  <c r="Z60" i="25" s="1"/>
  <c r="Z61" i="25" s="1"/>
  <c r="B1" i="11"/>
  <c r="Z69" i="25" l="1"/>
  <c r="Z71" i="25" s="1"/>
  <c r="Z73" i="25" s="1"/>
  <c r="Z62" i="25"/>
  <c r="E8" i="6"/>
  <c r="G4" i="25"/>
  <c r="I5" i="25"/>
  <c r="J5" i="25"/>
  <c r="K5" i="25"/>
  <c r="L5" i="25"/>
  <c r="M5" i="25"/>
  <c r="N5" i="25"/>
  <c r="O5" i="25"/>
  <c r="P5" i="25"/>
  <c r="Q5" i="25"/>
  <c r="R5" i="25"/>
  <c r="S5" i="25"/>
  <c r="H5" i="25"/>
  <c r="N109" i="24"/>
  <c r="M109" i="24"/>
  <c r="L109" i="24"/>
  <c r="K109" i="24"/>
  <c r="J109" i="24"/>
  <c r="I109" i="24"/>
  <c r="A1" i="5"/>
  <c r="B2" i="6"/>
  <c r="B1" i="25"/>
  <c r="B83" i="24"/>
  <c r="B100" i="24"/>
  <c r="AA24" i="25" l="1"/>
  <c r="AA55" i="25"/>
  <c r="Z74" i="25"/>
  <c r="Z75" i="25" s="1"/>
  <c r="AA56" i="25"/>
  <c r="B54" i="1"/>
  <c r="B35" i="1"/>
  <c r="M166" i="1"/>
  <c r="L166" i="1"/>
  <c r="K166" i="1"/>
  <c r="J166" i="1"/>
  <c r="M164" i="1"/>
  <c r="L164" i="1"/>
  <c r="K164" i="1"/>
  <c r="J164" i="1"/>
  <c r="J159" i="1"/>
  <c r="I46" i="20"/>
  <c r="M162" i="1"/>
  <c r="M161" i="1"/>
  <c r="M163" i="1"/>
  <c r="L163" i="1"/>
  <c r="K163" i="1"/>
  <c r="J163" i="1"/>
  <c r="M159" i="1"/>
  <c r="L159" i="1"/>
  <c r="M158" i="1"/>
  <c r="L158" i="1"/>
  <c r="K158" i="1"/>
  <c r="J158" i="1"/>
  <c r="M157" i="1"/>
  <c r="L157" i="1"/>
  <c r="K157" i="1"/>
  <c r="J157" i="1"/>
  <c r="K148" i="1"/>
  <c r="M148" i="1" s="1"/>
  <c r="M147" i="1"/>
  <c r="K162" i="1" s="1"/>
  <c r="M143" i="1"/>
  <c r="M141" i="1"/>
  <c r="G147" i="1"/>
  <c r="G146" i="1"/>
  <c r="G141" i="1"/>
  <c r="M127" i="1"/>
  <c r="L162" i="1" s="1"/>
  <c r="G118" i="1"/>
  <c r="M118" i="1"/>
  <c r="L118" i="1"/>
  <c r="M120" i="1"/>
  <c r="L120" i="1"/>
  <c r="M124" i="1"/>
  <c r="L124" i="1"/>
  <c r="K124" i="1"/>
  <c r="J124" i="1"/>
  <c r="I124" i="1"/>
  <c r="H124" i="1"/>
  <c r="G127" i="1"/>
  <c r="G126" i="1"/>
  <c r="G125" i="1"/>
  <c r="G124" i="1"/>
  <c r="G123" i="1"/>
  <c r="F127" i="1"/>
  <c r="E127" i="1"/>
  <c r="C127" i="1"/>
  <c r="B127" i="1"/>
  <c r="F126" i="1"/>
  <c r="E126" i="1"/>
  <c r="C126" i="1"/>
  <c r="B126" i="1"/>
  <c r="F125" i="1"/>
  <c r="E125" i="1"/>
  <c r="C125" i="1"/>
  <c r="B125" i="1"/>
  <c r="F124" i="1"/>
  <c r="E124" i="1"/>
  <c r="C124" i="1"/>
  <c r="B124" i="1"/>
  <c r="B123" i="1"/>
  <c r="F123" i="1"/>
  <c r="E123" i="1"/>
  <c r="C123" i="1"/>
  <c r="G120" i="1"/>
  <c r="M113" i="1"/>
  <c r="J162" i="1" s="1"/>
  <c r="M111" i="1"/>
  <c r="M108" i="1"/>
  <c r="L108" i="1"/>
  <c r="M106" i="1"/>
  <c r="L106" i="1"/>
  <c r="G111" i="1"/>
  <c r="G110" i="1"/>
  <c r="G108" i="1"/>
  <c r="G106" i="1"/>
  <c r="M16" i="26"/>
  <c r="L16" i="26"/>
  <c r="K16" i="26"/>
  <c r="J16" i="26"/>
  <c r="I16" i="26"/>
  <c r="H16" i="26"/>
  <c r="M15" i="26"/>
  <c r="L15" i="26"/>
  <c r="K15" i="26"/>
  <c r="J15" i="26"/>
  <c r="I15" i="26"/>
  <c r="H15" i="26"/>
  <c r="M14" i="26"/>
  <c r="I14" i="26" s="1"/>
  <c r="L14" i="26"/>
  <c r="K14" i="26"/>
  <c r="J14" i="26"/>
  <c r="H14" i="26"/>
  <c r="M13" i="26"/>
  <c r="M17" i="26" s="1"/>
  <c r="K13" i="26"/>
  <c r="K17" i="26" s="1"/>
  <c r="L12" i="26"/>
  <c r="J12" i="26"/>
  <c r="H12" i="26"/>
  <c r="M9" i="26"/>
  <c r="I9" i="26" s="1"/>
  <c r="L9" i="26"/>
  <c r="K9" i="26"/>
  <c r="J9" i="26"/>
  <c r="J13" i="26" s="1"/>
  <c r="J17" i="26" s="1"/>
  <c r="H9" i="26"/>
  <c r="H13" i="26" s="1"/>
  <c r="H17" i="26" s="1"/>
  <c r="H3" i="26"/>
  <c r="J3" i="26" s="1"/>
  <c r="L3" i="26" s="1"/>
  <c r="K59" i="1"/>
  <c r="J59" i="1"/>
  <c r="AA25" i="25" l="1"/>
  <c r="AA68" i="25"/>
  <c r="AA26" i="25"/>
  <c r="AA57" i="25" s="1"/>
  <c r="AA70" i="25" s="1"/>
  <c r="L13" i="26"/>
  <c r="L17" i="26" s="1"/>
  <c r="I13" i="26"/>
  <c r="I17" i="26" s="1"/>
  <c r="H127" i="1"/>
  <c r="J161" i="1"/>
  <c r="G144" i="1"/>
  <c r="AA58" i="25" l="1"/>
  <c r="AA60" i="25" s="1"/>
  <c r="AA61" i="25" s="1"/>
  <c r="AT22" i="20"/>
  <c r="AS22" i="20"/>
  <c r="AR22" i="20"/>
  <c r="AA69" i="25" l="1"/>
  <c r="AA71" i="25" s="1"/>
  <c r="AA73" i="25" s="1"/>
  <c r="AA62" i="25"/>
  <c r="K8" i="20"/>
  <c r="L59" i="1" s="1"/>
  <c r="AB24" i="25" l="1"/>
  <c r="AB55" i="25"/>
  <c r="AA74" i="25"/>
  <c r="AA75" i="25" s="1"/>
  <c r="AB56" i="25"/>
  <c r="J55" i="1"/>
  <c r="L8" i="20"/>
  <c r="M59" i="1" s="1"/>
  <c r="AB25" i="25" l="1"/>
  <c r="AB68" i="25"/>
  <c r="AB26" i="25"/>
  <c r="AB57" i="25" s="1"/>
  <c r="AB70" i="25" s="1"/>
  <c r="L131" i="24"/>
  <c r="AB58" i="25" l="1"/>
  <c r="AB60" i="25" s="1"/>
  <c r="AB61" i="25" s="1"/>
  <c r="H114" i="24"/>
  <c r="P114" i="24" s="1"/>
  <c r="H115" i="24"/>
  <c r="H116" i="24"/>
  <c r="H117" i="24"/>
  <c r="H118" i="24"/>
  <c r="H119" i="24"/>
  <c r="H120" i="24"/>
  <c r="H121" i="24"/>
  <c r="H122" i="24"/>
  <c r="P122" i="24" s="1"/>
  <c r="H123" i="24"/>
  <c r="P123" i="24" s="1"/>
  <c r="H124" i="24"/>
  <c r="P124" i="24" s="1"/>
  <c r="B133" i="24"/>
  <c r="B134" i="24"/>
  <c r="B135" i="24"/>
  <c r="B136" i="24"/>
  <c r="B137" i="24"/>
  <c r="B138" i="24"/>
  <c r="B139" i="24"/>
  <c r="B140" i="24"/>
  <c r="B141" i="24"/>
  <c r="B142" i="24"/>
  <c r="B143" i="24"/>
  <c r="B144" i="24"/>
  <c r="B145" i="24"/>
  <c r="B146" i="24"/>
  <c r="B147" i="24"/>
  <c r="B132" i="24"/>
  <c r="B114" i="24"/>
  <c r="B115" i="24"/>
  <c r="B116" i="24"/>
  <c r="B117" i="24"/>
  <c r="B118" i="24"/>
  <c r="B119" i="24"/>
  <c r="B120" i="24"/>
  <c r="B121" i="24"/>
  <c r="B122" i="24"/>
  <c r="B123" i="24"/>
  <c r="B124" i="24"/>
  <c r="B125" i="24"/>
  <c r="B126" i="24"/>
  <c r="H107" i="24"/>
  <c r="H108" i="24"/>
  <c r="H105" i="24"/>
  <c r="B106" i="24"/>
  <c r="B107" i="24"/>
  <c r="B108" i="24"/>
  <c r="B105" i="24"/>
  <c r="B2" i="24"/>
  <c r="B10" i="24"/>
  <c r="N127" i="24"/>
  <c r="AB69" i="25" l="1"/>
  <c r="AB71" i="25" s="1"/>
  <c r="AB73" i="25" s="1"/>
  <c r="AB62" i="25"/>
  <c r="I127" i="24"/>
  <c r="P118" i="24"/>
  <c r="P120" i="24"/>
  <c r="P117" i="24"/>
  <c r="P121" i="24"/>
  <c r="L128" i="24"/>
  <c r="AC56" i="25" l="1"/>
  <c r="AB74" i="25"/>
  <c r="AB75" i="25" s="1"/>
  <c r="AC24" i="25"/>
  <c r="AC55" i="25"/>
  <c r="P115" i="24"/>
  <c r="M128" i="24"/>
  <c r="P116" i="24"/>
  <c r="AC68" i="25" l="1"/>
  <c r="AC25" i="25"/>
  <c r="AC26" i="25" s="1"/>
  <c r="AC57" i="25" s="1"/>
  <c r="AM33" i="25"/>
  <c r="AN33" i="25" s="1"/>
  <c r="AM34" i="25"/>
  <c r="AN34" i="25" s="1"/>
  <c r="AM35" i="25"/>
  <c r="AN35" i="25" s="1"/>
  <c r="AM39" i="25"/>
  <c r="AM40" i="25"/>
  <c r="AM41" i="25"/>
  <c r="AM42" i="25"/>
  <c r="AM43" i="25"/>
  <c r="AN43" i="25" s="1"/>
  <c r="AM44" i="25"/>
  <c r="AN44" i="25" s="1"/>
  <c r="AM45" i="25"/>
  <c r="AN45" i="25" s="1"/>
  <c r="AM47" i="25"/>
  <c r="AN47" i="25" s="1"/>
  <c r="AM11" i="25"/>
  <c r="AN11" i="25" s="1"/>
  <c r="AM12" i="25"/>
  <c r="AM14" i="25"/>
  <c r="AM15" i="25"/>
  <c r="AM16" i="25"/>
  <c r="AM17" i="25"/>
  <c r="AM21" i="25"/>
  <c r="AN21" i="25" s="1"/>
  <c r="AC70" i="25" l="1"/>
  <c r="AC58" i="25"/>
  <c r="AC60" i="25" s="1"/>
  <c r="AC61" i="25" s="1"/>
  <c r="T48" i="25"/>
  <c r="F5" i="25"/>
  <c r="B14" i="25"/>
  <c r="B18" i="25"/>
  <c r="B19" i="25"/>
  <c r="B20" i="25"/>
  <c r="B21" i="25"/>
  <c r="B9" i="25"/>
  <c r="B10" i="25"/>
  <c r="B11" i="25"/>
  <c r="B12" i="25"/>
  <c r="B13" i="25"/>
  <c r="B15" i="25"/>
  <c r="B16" i="25"/>
  <c r="B17" i="25"/>
  <c r="B8" i="25"/>
  <c r="E25" i="25"/>
  <c r="E35" i="25"/>
  <c r="F35" i="25" s="1"/>
  <c r="E36" i="25"/>
  <c r="E37" i="25"/>
  <c r="E38" i="25"/>
  <c r="E39" i="25"/>
  <c r="AN39" i="25" s="1"/>
  <c r="E40" i="25"/>
  <c r="AN40" i="25" s="1"/>
  <c r="E41" i="25"/>
  <c r="AN41" i="25" s="1"/>
  <c r="E42" i="25"/>
  <c r="E43" i="25"/>
  <c r="F43" i="25" s="1"/>
  <c r="E44" i="25"/>
  <c r="F44" i="25" s="1"/>
  <c r="E45" i="25"/>
  <c r="F45" i="25" s="1"/>
  <c r="B47" i="25"/>
  <c r="B35" i="25"/>
  <c r="B36" i="25"/>
  <c r="B37" i="25"/>
  <c r="B38" i="25"/>
  <c r="B39" i="25"/>
  <c r="B40" i="25"/>
  <c r="B41" i="25"/>
  <c r="B42" i="25"/>
  <c r="B43" i="25"/>
  <c r="B44" i="25"/>
  <c r="B45" i="25"/>
  <c r="B46" i="25"/>
  <c r="S48" i="25"/>
  <c r="R48" i="25"/>
  <c r="Q48" i="25"/>
  <c r="P48" i="25"/>
  <c r="O48" i="25"/>
  <c r="N48" i="25"/>
  <c r="M48" i="25"/>
  <c r="L48" i="25"/>
  <c r="K48" i="25"/>
  <c r="J48" i="25"/>
  <c r="I48" i="25"/>
  <c r="H48" i="25"/>
  <c r="AM8" i="25"/>
  <c r="AM5" i="25"/>
  <c r="H4" i="25"/>
  <c r="I4" i="25" s="1"/>
  <c r="J4" i="25" s="1"/>
  <c r="K4" i="25" s="1"/>
  <c r="L4" i="25" s="1"/>
  <c r="M4" i="25" s="1"/>
  <c r="N4" i="25" s="1"/>
  <c r="O4" i="25" s="1"/>
  <c r="P4" i="25" s="1"/>
  <c r="Q4" i="25" s="1"/>
  <c r="R4" i="25" s="1"/>
  <c r="S4" i="25" s="1"/>
  <c r="T4" i="25" s="1"/>
  <c r="U4" i="25" s="1"/>
  <c r="AC62" i="25" l="1"/>
  <c r="AC69" i="25"/>
  <c r="AC71" i="25" s="1"/>
  <c r="AC73" i="25" s="1"/>
  <c r="AM38" i="25"/>
  <c r="AN38" i="25" s="1"/>
  <c r="AM37" i="25"/>
  <c r="AN37" i="25" s="1"/>
  <c r="AN42" i="25"/>
  <c r="F41" i="25"/>
  <c r="F40" i="25"/>
  <c r="F39" i="25"/>
  <c r="AN5" i="25"/>
  <c r="AC74" i="25" l="1"/>
  <c r="AC75" i="25" s="1"/>
  <c r="AD56" i="25"/>
  <c r="AD55" i="25"/>
  <c r="AD24" i="25"/>
  <c r="F37" i="25"/>
  <c r="F38" i="25"/>
  <c r="F42" i="25"/>
  <c r="G48" i="25"/>
  <c r="G56" i="25" s="1"/>
  <c r="AD68" i="25" l="1"/>
  <c r="AD25" i="25"/>
  <c r="AD26" i="25"/>
  <c r="AD57" i="25" s="1"/>
  <c r="AD70" i="25" s="1"/>
  <c r="AD58" i="25"/>
  <c r="AD60" i="25" s="1"/>
  <c r="AD61" i="25" s="1"/>
  <c r="AD62" i="25" s="1"/>
  <c r="AD69" i="25"/>
  <c r="AD71" i="25" s="1"/>
  <c r="AD73" i="25" s="1"/>
  <c r="F36" i="25"/>
  <c r="AM36" i="25"/>
  <c r="U48" i="25"/>
  <c r="AE24" i="25" l="1"/>
  <c r="AE55" i="25"/>
  <c r="AD74" i="25"/>
  <c r="AE56" i="25"/>
  <c r="AD75" i="25"/>
  <c r="AN36" i="25"/>
  <c r="AE25" i="25" l="1"/>
  <c r="AE26" i="25" s="1"/>
  <c r="AE57" i="25" s="1"/>
  <c r="AE68" i="25"/>
  <c r="D28" i="4"/>
  <c r="D27" i="4"/>
  <c r="AE70" i="25" l="1"/>
  <c r="AE58" i="25"/>
  <c r="AE60" i="25" s="1"/>
  <c r="AE61" i="25" s="1"/>
  <c r="D21" i="4"/>
  <c r="D20" i="4"/>
  <c r="D19" i="4"/>
  <c r="L5" i="7"/>
  <c r="V10" i="7"/>
  <c r="V8" i="7"/>
  <c r="V5" i="7"/>
  <c r="L10" i="7"/>
  <c r="L8" i="7"/>
  <c r="B10" i="7"/>
  <c r="B8" i="7"/>
  <c r="B5" i="7"/>
  <c r="G20" i="1"/>
  <c r="G21" i="1"/>
  <c r="G22" i="1"/>
  <c r="G23" i="1"/>
  <c r="G24" i="1"/>
  <c r="G25" i="1"/>
  <c r="G26" i="1"/>
  <c r="G27" i="1"/>
  <c r="G28" i="1"/>
  <c r="G29" i="1"/>
  <c r="G30" i="1"/>
  <c r="B32" i="1"/>
  <c r="B31" i="1"/>
  <c r="B30" i="1"/>
  <c r="B29" i="1"/>
  <c r="B28" i="1"/>
  <c r="B27" i="1"/>
  <c r="B26" i="1"/>
  <c r="B25" i="1"/>
  <c r="B24" i="1"/>
  <c r="B23" i="1"/>
  <c r="B22" i="1"/>
  <c r="B21" i="1"/>
  <c r="B20" i="1"/>
  <c r="B2" i="20"/>
  <c r="C6" i="4"/>
  <c r="B2" i="22"/>
  <c r="N76" i="24"/>
  <c r="G70" i="24"/>
  <c r="M93" i="24"/>
  <c r="V4" i="7" s="1"/>
  <c r="L93" i="24"/>
  <c r="L4" i="7" s="1"/>
  <c r="K93" i="24"/>
  <c r="B4" i="7" s="1"/>
  <c r="K91" i="24"/>
  <c r="B3" i="7" s="1"/>
  <c r="N97" i="24"/>
  <c r="M165" i="1" s="1"/>
  <c r="G72" i="24"/>
  <c r="G71" i="24"/>
  <c r="H55" i="24"/>
  <c r="H95" i="1"/>
  <c r="H91" i="1"/>
  <c r="H89" i="1"/>
  <c r="H86" i="1"/>
  <c r="H85" i="1"/>
  <c r="H84" i="1"/>
  <c r="H69" i="1"/>
  <c r="H68" i="1"/>
  <c r="H67" i="1"/>
  <c r="H63" i="1"/>
  <c r="H62" i="1"/>
  <c r="J56" i="1"/>
  <c r="J97" i="1" s="1"/>
  <c r="G57" i="1"/>
  <c r="H98" i="1" s="1"/>
  <c r="G56" i="1"/>
  <c r="E5" i="6"/>
  <c r="X36" i="20"/>
  <c r="X41" i="20" s="1"/>
  <c r="E37" i="1"/>
  <c r="D35" i="4"/>
  <c r="E35" i="4" s="1"/>
  <c r="D33" i="4"/>
  <c r="E33" i="4" s="1"/>
  <c r="D32" i="4"/>
  <c r="D31" i="4"/>
  <c r="E31" i="4" s="1"/>
  <c r="D30" i="4"/>
  <c r="E30" i="4" s="1"/>
  <c r="D29" i="4"/>
  <c r="Z34" i="19"/>
  <c r="Z33" i="19"/>
  <c r="Z32" i="19"/>
  <c r="Z31" i="19"/>
  <c r="Z30" i="19"/>
  <c r="Z29" i="19"/>
  <c r="Z28" i="19"/>
  <c r="X34" i="19"/>
  <c r="X33" i="19"/>
  <c r="X32" i="19"/>
  <c r="X31" i="19"/>
  <c r="X30" i="19"/>
  <c r="X29" i="19"/>
  <c r="L51" i="1"/>
  <c r="L50" i="1"/>
  <c r="L49" i="1"/>
  <c r="L48" i="1"/>
  <c r="L47" i="1"/>
  <c r="L46" i="1"/>
  <c r="L45" i="1"/>
  <c r="L44" i="1"/>
  <c r="L43" i="1"/>
  <c r="L42" i="1"/>
  <c r="L41" i="1"/>
  <c r="L40" i="1"/>
  <c r="L39" i="1"/>
  <c r="L38" i="1"/>
  <c r="L37" i="1"/>
  <c r="J51" i="1"/>
  <c r="I51" i="1"/>
  <c r="H51" i="1"/>
  <c r="G51" i="1"/>
  <c r="F51" i="1"/>
  <c r="E51" i="1"/>
  <c r="C51" i="1"/>
  <c r="B51" i="1"/>
  <c r="J50" i="1"/>
  <c r="I50" i="1"/>
  <c r="H50" i="1"/>
  <c r="G50" i="1"/>
  <c r="F50" i="1"/>
  <c r="E50" i="1"/>
  <c r="C50" i="1"/>
  <c r="B50" i="1"/>
  <c r="J49" i="1"/>
  <c r="I49" i="1"/>
  <c r="H49" i="1"/>
  <c r="G49" i="1"/>
  <c r="F49" i="1"/>
  <c r="E49" i="1"/>
  <c r="C49" i="1"/>
  <c r="B49" i="1"/>
  <c r="J48" i="1"/>
  <c r="I48" i="1"/>
  <c r="H48" i="1"/>
  <c r="G48" i="1"/>
  <c r="F48" i="1"/>
  <c r="E48" i="1"/>
  <c r="C48" i="1"/>
  <c r="B48" i="1"/>
  <c r="J47" i="1"/>
  <c r="I47" i="1"/>
  <c r="H47" i="1"/>
  <c r="G47" i="1"/>
  <c r="F47" i="1"/>
  <c r="E47" i="1"/>
  <c r="C47" i="1"/>
  <c r="B47" i="1"/>
  <c r="J46" i="1"/>
  <c r="I46" i="1"/>
  <c r="H46" i="1"/>
  <c r="G46" i="1"/>
  <c r="F46" i="1"/>
  <c r="E46" i="1"/>
  <c r="C46" i="1"/>
  <c r="B46" i="1"/>
  <c r="J45" i="1"/>
  <c r="I45" i="1"/>
  <c r="H45" i="1"/>
  <c r="G45" i="1"/>
  <c r="F45" i="1"/>
  <c r="E45" i="1"/>
  <c r="C45" i="1"/>
  <c r="B45" i="1"/>
  <c r="I44" i="1"/>
  <c r="H44" i="1"/>
  <c r="G44" i="1"/>
  <c r="F44" i="1"/>
  <c r="E44" i="1"/>
  <c r="C44" i="1"/>
  <c r="B44" i="1"/>
  <c r="I43" i="1"/>
  <c r="H43" i="1"/>
  <c r="G43" i="1"/>
  <c r="F43" i="1"/>
  <c r="E43" i="1"/>
  <c r="C43" i="1"/>
  <c r="B43" i="1"/>
  <c r="I42" i="1"/>
  <c r="H42" i="1"/>
  <c r="G42" i="1"/>
  <c r="F42" i="1"/>
  <c r="E42" i="1"/>
  <c r="C42" i="1"/>
  <c r="B42" i="1"/>
  <c r="I41" i="1"/>
  <c r="H41" i="1"/>
  <c r="G41" i="1"/>
  <c r="F41" i="1"/>
  <c r="E41" i="1"/>
  <c r="C41" i="1"/>
  <c r="B41" i="1"/>
  <c r="I40" i="1"/>
  <c r="H40" i="1"/>
  <c r="G40" i="1"/>
  <c r="F40" i="1"/>
  <c r="E40" i="1"/>
  <c r="C40" i="1"/>
  <c r="B40" i="1"/>
  <c r="I39" i="1"/>
  <c r="H39" i="1"/>
  <c r="G39" i="1"/>
  <c r="F39" i="1"/>
  <c r="E39" i="1"/>
  <c r="C39" i="1"/>
  <c r="B39" i="1"/>
  <c r="I38" i="1"/>
  <c r="H38" i="1"/>
  <c r="G38" i="1"/>
  <c r="F38" i="1"/>
  <c r="E38" i="1"/>
  <c r="C38" i="1"/>
  <c r="B38" i="1"/>
  <c r="I37" i="1"/>
  <c r="H37" i="1"/>
  <c r="G37" i="1"/>
  <c r="F37" i="1"/>
  <c r="C37" i="1"/>
  <c r="B37" i="1"/>
  <c r="L30" i="1"/>
  <c r="L25" i="1"/>
  <c r="H141" i="24" s="1"/>
  <c r="P141" i="24" s="1"/>
  <c r="L19" i="1"/>
  <c r="AA46" i="20"/>
  <c r="Z46" i="20"/>
  <c r="Y46" i="20"/>
  <c r="AA47" i="20"/>
  <c r="Z47" i="20"/>
  <c r="Y47" i="20"/>
  <c r="H67" i="22"/>
  <c r="L27" i="1" s="1"/>
  <c r="AE69" i="25" l="1"/>
  <c r="AE71" i="25" s="1"/>
  <c r="AE73" i="25" s="1"/>
  <c r="AE62" i="25"/>
  <c r="L91" i="24"/>
  <c r="L3" i="7" s="1"/>
  <c r="M146" i="1"/>
  <c r="K161" i="1" s="1"/>
  <c r="M91" i="24"/>
  <c r="M126" i="1"/>
  <c r="L161" i="1" s="1"/>
  <c r="E39" i="4"/>
  <c r="G143" i="1"/>
  <c r="P9" i="11"/>
  <c r="N70" i="24"/>
  <c r="G142" i="1"/>
  <c r="H146" i="24"/>
  <c r="E20" i="25"/>
  <c r="H143" i="24"/>
  <c r="E17" i="25"/>
  <c r="H135" i="24"/>
  <c r="P135" i="24" s="1"/>
  <c r="E11" i="25"/>
  <c r="F11" i="25" s="1"/>
  <c r="E32" i="4"/>
  <c r="F15" i="24"/>
  <c r="G73" i="24"/>
  <c r="H70" i="1"/>
  <c r="K45" i="1"/>
  <c r="K46" i="1"/>
  <c r="K47" i="1"/>
  <c r="K48" i="1"/>
  <c r="K49" i="1"/>
  <c r="K50" i="1"/>
  <c r="K51" i="1"/>
  <c r="M38" i="1"/>
  <c r="M37" i="1"/>
  <c r="M39" i="1"/>
  <c r="M40" i="1"/>
  <c r="M41" i="1"/>
  <c r="M42" i="1"/>
  <c r="M43" i="1"/>
  <c r="M44" i="1"/>
  <c r="M47" i="1"/>
  <c r="M48" i="1"/>
  <c r="M49" i="1"/>
  <c r="M50" i="1"/>
  <c r="M51" i="1"/>
  <c r="M45" i="1"/>
  <c r="M46" i="1"/>
  <c r="H43" i="22"/>
  <c r="L21" i="1" s="1"/>
  <c r="H13" i="22"/>
  <c r="F14" i="22" s="1"/>
  <c r="H8" i="22"/>
  <c r="AE74" i="25" l="1"/>
  <c r="AE75" i="25" s="1"/>
  <c r="AF56" i="25"/>
  <c r="AF24" i="25"/>
  <c r="AF55" i="25"/>
  <c r="V3" i="7"/>
  <c r="D72" i="4"/>
  <c r="E34" i="25"/>
  <c r="F34" i="25" s="1"/>
  <c r="H113" i="24"/>
  <c r="P113" i="24" s="1"/>
  <c r="G145" i="1"/>
  <c r="N72" i="24"/>
  <c r="N73" i="24" s="1"/>
  <c r="N77" i="24" s="1"/>
  <c r="M142" i="1"/>
  <c r="M144" i="1" s="1"/>
  <c r="M145" i="1" s="1"/>
  <c r="M149" i="1" s="1"/>
  <c r="AN17" i="25"/>
  <c r="P143" i="24"/>
  <c r="AM20" i="25"/>
  <c r="AN20" i="25" s="1"/>
  <c r="P146" i="24"/>
  <c r="H137" i="24"/>
  <c r="E13" i="25"/>
  <c r="B15" i="24"/>
  <c r="B113" i="24" s="1"/>
  <c r="G19" i="1"/>
  <c r="L16" i="1"/>
  <c r="G15" i="24"/>
  <c r="M52" i="1"/>
  <c r="X25" i="1" s="1"/>
  <c r="H15" i="22"/>
  <c r="AF26" i="25" l="1"/>
  <c r="AF57" i="25" s="1"/>
  <c r="AF70" i="25" s="1"/>
  <c r="AF25" i="25"/>
  <c r="AF68" i="25"/>
  <c r="F17" i="25"/>
  <c r="K159" i="1"/>
  <c r="F20" i="25"/>
  <c r="H132" i="24"/>
  <c r="E8" i="25"/>
  <c r="AN12" i="25"/>
  <c r="AN16" i="25"/>
  <c r="B19" i="1"/>
  <c r="B34" i="25"/>
  <c r="L18" i="1"/>
  <c r="L17" i="1"/>
  <c r="H17" i="22"/>
  <c r="AF58" i="25" l="1"/>
  <c r="AF60" i="25" s="1"/>
  <c r="AF61" i="25" s="1"/>
  <c r="G8" i="25"/>
  <c r="AN8" i="25" s="1"/>
  <c r="P132" i="24"/>
  <c r="F13" i="25"/>
  <c r="H134" i="24"/>
  <c r="E10" i="25"/>
  <c r="H133" i="24"/>
  <c r="E9" i="25"/>
  <c r="F16" i="22"/>
  <c r="B2" i="19"/>
  <c r="M14" i="19"/>
  <c r="L14" i="19"/>
  <c r="K14" i="19"/>
  <c r="J14" i="19"/>
  <c r="I14" i="19"/>
  <c r="H14" i="19"/>
  <c r="G14" i="19"/>
  <c r="F14" i="19"/>
  <c r="E14" i="19"/>
  <c r="AJ18" i="20"/>
  <c r="AJ21" i="20" s="1"/>
  <c r="F6" i="20"/>
  <c r="F5" i="20"/>
  <c r="AA50" i="20"/>
  <c r="Z50" i="20"/>
  <c r="Y50" i="20"/>
  <c r="X50" i="20"/>
  <c r="AA49" i="20"/>
  <c r="Z49" i="20"/>
  <c r="Y49" i="20"/>
  <c r="X49" i="20"/>
  <c r="X46" i="20"/>
  <c r="AA36" i="20"/>
  <c r="AA41" i="20" s="1"/>
  <c r="Z36" i="20"/>
  <c r="Z41" i="20" s="1"/>
  <c r="Y36" i="20"/>
  <c r="Y41" i="20" s="1"/>
  <c r="AA25" i="20"/>
  <c r="Z25" i="20"/>
  <c r="Y25" i="20"/>
  <c r="X25" i="20"/>
  <c r="G24" i="20"/>
  <c r="G23" i="20"/>
  <c r="AA19" i="20"/>
  <c r="AA48" i="20" s="1"/>
  <c r="Z19" i="20"/>
  <c r="Z48" i="20" s="1"/>
  <c r="Y19" i="20"/>
  <c r="Y48" i="20" s="1"/>
  <c r="X19" i="20"/>
  <c r="X48" i="20" s="1"/>
  <c r="G19" i="20"/>
  <c r="AT18" i="20"/>
  <c r="AT20" i="20" s="1"/>
  <c r="AT32" i="20" s="1"/>
  <c r="AS18" i="20"/>
  <c r="AS20" i="20" s="1"/>
  <c r="AS32" i="20" s="1"/>
  <c r="AR18" i="20"/>
  <c r="AR30" i="20" s="1"/>
  <c r="AJ16" i="20"/>
  <c r="AT15" i="20"/>
  <c r="AS15" i="20"/>
  <c r="AR15" i="20"/>
  <c r="AA13" i="20"/>
  <c r="Z13" i="20"/>
  <c r="Y13" i="20"/>
  <c r="X13" i="20"/>
  <c r="AJ13" i="20"/>
  <c r="AT12" i="20"/>
  <c r="AT13" i="20" s="1"/>
  <c r="AT24" i="20" s="1"/>
  <c r="AS12" i="20"/>
  <c r="AS14" i="20" s="1"/>
  <c r="AR12" i="20"/>
  <c r="AR13" i="20" s="1"/>
  <c r="AR24" i="20" s="1"/>
  <c r="L6" i="20"/>
  <c r="K6" i="20"/>
  <c r="J6" i="20"/>
  <c r="L5" i="20"/>
  <c r="K5" i="20"/>
  <c r="J5" i="20"/>
  <c r="AF69" i="25" l="1"/>
  <c r="AF71" i="25" s="1"/>
  <c r="AF73" i="25" s="1"/>
  <c r="AF62" i="25"/>
  <c r="Z25" i="19"/>
  <c r="J42" i="1"/>
  <c r="K42" i="1" s="1"/>
  <c r="J44" i="1"/>
  <c r="K44" i="1" s="1"/>
  <c r="Z27" i="19"/>
  <c r="J41" i="1"/>
  <c r="K41" i="1" s="1"/>
  <c r="Z24" i="19"/>
  <c r="Z26" i="19"/>
  <c r="J43" i="1"/>
  <c r="K43" i="1" s="1"/>
  <c r="AJ15" i="20"/>
  <c r="H9" i="25"/>
  <c r="F8" i="25"/>
  <c r="P134" i="24"/>
  <c r="K9" i="25"/>
  <c r="M9" i="25"/>
  <c r="O9" i="25"/>
  <c r="P9" i="25"/>
  <c r="I9" i="25"/>
  <c r="L9" i="25"/>
  <c r="N9" i="25"/>
  <c r="J9" i="25"/>
  <c r="R9" i="25"/>
  <c r="Q9" i="25"/>
  <c r="I10" i="25"/>
  <c r="Q10" i="25"/>
  <c r="K10" i="25"/>
  <c r="M10" i="25"/>
  <c r="J10" i="25"/>
  <c r="R10" i="25"/>
  <c r="S10" i="25"/>
  <c r="L10" i="25"/>
  <c r="O10" i="25"/>
  <c r="P10" i="25"/>
  <c r="N10" i="25"/>
  <c r="P133" i="24"/>
  <c r="AM13" i="25"/>
  <c r="AN13" i="25" s="1"/>
  <c r="H10" i="25"/>
  <c r="L46" i="20"/>
  <c r="M56" i="1"/>
  <c r="M97" i="1" s="1"/>
  <c r="L47" i="20"/>
  <c r="M57" i="1"/>
  <c r="M98" i="1" s="1"/>
  <c r="J46" i="20"/>
  <c r="K56" i="1"/>
  <c r="K97" i="1" s="1"/>
  <c r="K47" i="20"/>
  <c r="L57" i="1"/>
  <c r="L98" i="1" s="1"/>
  <c r="K46" i="20"/>
  <c r="L56" i="1"/>
  <c r="L97" i="1" s="1"/>
  <c r="J47" i="20"/>
  <c r="K57" i="1"/>
  <c r="K98" i="1" s="1"/>
  <c r="G50" i="20"/>
  <c r="H101" i="1" s="1"/>
  <c r="H75" i="1"/>
  <c r="G49" i="20"/>
  <c r="H100" i="1" s="1"/>
  <c r="H74" i="1"/>
  <c r="G74" i="1" s="1"/>
  <c r="I6" i="20"/>
  <c r="G47" i="20"/>
  <c r="Y27" i="20"/>
  <c r="Y43" i="20" s="1"/>
  <c r="AJ14" i="20"/>
  <c r="AA27" i="20"/>
  <c r="AA51" i="20" s="1"/>
  <c r="X26" i="20"/>
  <c r="Z26" i="20"/>
  <c r="AT9" i="20"/>
  <c r="AS13" i="20"/>
  <c r="AS24" i="20" s="1"/>
  <c r="AS9" i="20"/>
  <c r="AS25" i="20" s="1"/>
  <c r="X27" i="20"/>
  <c r="Y26" i="20"/>
  <c r="Z27" i="20"/>
  <c r="Z43" i="20" s="1"/>
  <c r="AA26" i="20"/>
  <c r="AS30" i="20"/>
  <c r="AR9" i="20"/>
  <c r="AR25" i="20" s="1"/>
  <c r="AR20" i="20"/>
  <c r="AR32" i="20" s="1"/>
  <c r="AT30" i="20"/>
  <c r="AR14" i="20"/>
  <c r="AT14" i="20"/>
  <c r="AG24" i="25" l="1"/>
  <c r="AG55" i="25"/>
  <c r="AF74" i="25"/>
  <c r="AF75" i="25" s="1"/>
  <c r="AG56" i="25"/>
  <c r="AT26" i="20"/>
  <c r="AT27" i="20" s="1"/>
  <c r="AT25" i="20"/>
  <c r="S9" i="25"/>
  <c r="S22" i="25" s="1"/>
  <c r="O22" i="25"/>
  <c r="M22" i="25"/>
  <c r="AM10" i="25"/>
  <c r="AN10" i="25" s="1"/>
  <c r="P22" i="25"/>
  <c r="AM9" i="25"/>
  <c r="T22" i="25"/>
  <c r="N22" i="25"/>
  <c r="L22" i="25"/>
  <c r="J22" i="25"/>
  <c r="I22" i="25"/>
  <c r="R22" i="25"/>
  <c r="K22" i="25"/>
  <c r="Q22" i="25"/>
  <c r="F10" i="25"/>
  <c r="H22" i="25"/>
  <c r="G75" i="1"/>
  <c r="Z20" i="19"/>
  <c r="J37" i="1"/>
  <c r="K37" i="1" s="1"/>
  <c r="Z22" i="19"/>
  <c r="J39" i="1"/>
  <c r="K39" i="1" s="1"/>
  <c r="Z23" i="19"/>
  <c r="J40" i="1"/>
  <c r="K40" i="1" s="1"/>
  <c r="Z21" i="19"/>
  <c r="J38" i="1"/>
  <c r="K38" i="1" s="1"/>
  <c r="X51" i="20"/>
  <c r="X43" i="20"/>
  <c r="I47" i="20"/>
  <c r="J57" i="1"/>
  <c r="J98" i="1" s="1"/>
  <c r="Y51" i="20"/>
  <c r="AA43" i="20"/>
  <c r="Z51" i="20"/>
  <c r="AS26" i="20"/>
  <c r="AS27" i="20" s="1"/>
  <c r="AR26" i="20"/>
  <c r="AR28" i="20" s="1"/>
  <c r="AG25" i="25" l="1"/>
  <c r="AG68" i="25"/>
  <c r="AG26" i="25"/>
  <c r="AG57" i="25" s="1"/>
  <c r="AG70" i="25" s="1"/>
  <c r="AT28" i="20"/>
  <c r="AT29" i="20" s="1"/>
  <c r="AT31" i="20" s="1"/>
  <c r="AN9" i="25"/>
  <c r="F9" i="25"/>
  <c r="AS28" i="20"/>
  <c r="AS29" i="20" s="1"/>
  <c r="AS31" i="20" s="1"/>
  <c r="AR27" i="20"/>
  <c r="AR29" i="20" s="1"/>
  <c r="AR31" i="20" s="1"/>
  <c r="AG58" i="25" l="1"/>
  <c r="AG60" i="25" s="1"/>
  <c r="AG61" i="25" s="1"/>
  <c r="W34" i="19"/>
  <c r="AC34" i="19" s="1"/>
  <c r="W33" i="19"/>
  <c r="AC33" i="19" s="1"/>
  <c r="W32" i="19"/>
  <c r="AC32" i="19" s="1"/>
  <c r="W31" i="19"/>
  <c r="AC31" i="19" s="1"/>
  <c r="W30" i="19"/>
  <c r="AC30" i="19" s="1"/>
  <c r="W29" i="19"/>
  <c r="AC29" i="19" s="1"/>
  <c r="W28" i="19"/>
  <c r="AC28" i="19" s="1"/>
  <c r="W27" i="19"/>
  <c r="AC27" i="19" s="1"/>
  <c r="W26" i="19"/>
  <c r="AC26" i="19" s="1"/>
  <c r="W25" i="19"/>
  <c r="AC25" i="19" s="1"/>
  <c r="W24" i="19"/>
  <c r="AC24" i="19" s="1"/>
  <c r="W23" i="19"/>
  <c r="AC23" i="19" s="1"/>
  <c r="W22" i="19"/>
  <c r="W21" i="19"/>
  <c r="AC21" i="19" s="1"/>
  <c r="W20" i="19"/>
  <c r="AC20" i="19" s="1"/>
  <c r="V34" i="19"/>
  <c r="V33" i="19"/>
  <c r="V32" i="19"/>
  <c r="V31" i="19"/>
  <c r="V30" i="19"/>
  <c r="V29" i="19"/>
  <c r="V28" i="19"/>
  <c r="V27" i="19"/>
  <c r="V26" i="19"/>
  <c r="V25" i="19"/>
  <c r="V24" i="19"/>
  <c r="V23" i="19"/>
  <c r="V22" i="19"/>
  <c r="V21" i="19"/>
  <c r="V20" i="19"/>
  <c r="U34" i="19"/>
  <c r="U33" i="19"/>
  <c r="U32" i="19"/>
  <c r="U31" i="19"/>
  <c r="U30" i="19"/>
  <c r="U29" i="19"/>
  <c r="U28" i="19"/>
  <c r="U27" i="19"/>
  <c r="U26" i="19"/>
  <c r="U25" i="19"/>
  <c r="U24" i="19"/>
  <c r="U23" i="19"/>
  <c r="U22" i="19"/>
  <c r="U21" i="19"/>
  <c r="U20" i="19"/>
  <c r="M21" i="19"/>
  <c r="M22" i="19"/>
  <c r="M23" i="19"/>
  <c r="M24" i="19"/>
  <c r="M25" i="19"/>
  <c r="M26" i="19"/>
  <c r="M27" i="19"/>
  <c r="M28" i="19"/>
  <c r="M29" i="19"/>
  <c r="M30" i="19"/>
  <c r="M31" i="19"/>
  <c r="M32" i="19"/>
  <c r="M33" i="19"/>
  <c r="D34" i="19"/>
  <c r="B15" i="27" s="1"/>
  <c r="B21" i="27" s="1"/>
  <c r="M20" i="19"/>
  <c r="AG62" i="25" l="1"/>
  <c r="AG69" i="25"/>
  <c r="AG71" i="25" s="1"/>
  <c r="AG73" i="25" s="1"/>
  <c r="B24" i="27"/>
  <c r="B23" i="27"/>
  <c r="B22" i="27"/>
  <c r="J52" i="19"/>
  <c r="J42" i="19"/>
  <c r="J45" i="19"/>
  <c r="L42" i="19"/>
  <c r="J43" i="19"/>
  <c r="L43" i="19"/>
  <c r="L41" i="19"/>
  <c r="L45" i="19"/>
  <c r="J44" i="19"/>
  <c r="J40" i="19"/>
  <c r="L40" i="19"/>
  <c r="L44" i="19"/>
  <c r="J41" i="19"/>
  <c r="I49" i="22"/>
  <c r="I59" i="22"/>
  <c r="I56" i="19"/>
  <c r="J56" i="19" s="1"/>
  <c r="L39" i="19"/>
  <c r="J55" i="19"/>
  <c r="J39" i="19"/>
  <c r="J51" i="19"/>
  <c r="J53" i="19"/>
  <c r="J54" i="19"/>
  <c r="G58" i="1"/>
  <c r="I68" i="1" s="1"/>
  <c r="AC22" i="19"/>
  <c r="AA22" i="19"/>
  <c r="AA23" i="19"/>
  <c r="Y33" i="19"/>
  <c r="AA25" i="19"/>
  <c r="AA31" i="19"/>
  <c r="AA33" i="19"/>
  <c r="AA29" i="19"/>
  <c r="Y30" i="19"/>
  <c r="F7" i="20"/>
  <c r="I61" i="22"/>
  <c r="I57" i="22"/>
  <c r="I41" i="22"/>
  <c r="I24" i="22"/>
  <c r="I26" i="22"/>
  <c r="I60" i="22"/>
  <c r="I73" i="22"/>
  <c r="I56" i="22"/>
  <c r="I40" i="22"/>
  <c r="I31" i="22"/>
  <c r="I23" i="22"/>
  <c r="I72" i="22"/>
  <c r="I55" i="22"/>
  <c r="I39" i="22"/>
  <c r="I21" i="22"/>
  <c r="I48" i="22"/>
  <c r="I58" i="22"/>
  <c r="I71" i="22"/>
  <c r="I54" i="22"/>
  <c r="I5" i="22"/>
  <c r="I30" i="22"/>
  <c r="I22" i="22"/>
  <c r="I50" i="22"/>
  <c r="I53" i="22"/>
  <c r="I36" i="22"/>
  <c r="I29" i="22"/>
  <c r="I47" i="22"/>
  <c r="I66" i="22"/>
  <c r="I25" i="22"/>
  <c r="I32" i="22"/>
  <c r="I33" i="22"/>
  <c r="I34" i="22"/>
  <c r="I62" i="22"/>
  <c r="I65" i="22"/>
  <c r="I42" i="22"/>
  <c r="I28" i="22"/>
  <c r="I19" i="22"/>
  <c r="I6" i="22"/>
  <c r="I16" i="22"/>
  <c r="I11" i="22"/>
  <c r="I14" i="22"/>
  <c r="I12" i="22"/>
  <c r="I7" i="22"/>
  <c r="I10" i="22"/>
  <c r="Y29" i="19"/>
  <c r="AA28" i="19"/>
  <c r="Y31" i="19"/>
  <c r="AA24" i="19"/>
  <c r="AA32" i="19"/>
  <c r="AA26" i="19"/>
  <c r="AA34" i="19"/>
  <c r="Y32" i="19"/>
  <c r="Y34" i="19"/>
  <c r="AA27" i="19"/>
  <c r="AA20" i="19"/>
  <c r="M34" i="19"/>
  <c r="AA21" i="19"/>
  <c r="AG74" i="25" l="1"/>
  <c r="AG75" i="25" s="1"/>
  <c r="AH56" i="25"/>
  <c r="AH24" i="25"/>
  <c r="AH55" i="25"/>
  <c r="H37" i="22"/>
  <c r="L20" i="1" s="1"/>
  <c r="I27" i="22"/>
  <c r="I37" i="22" s="1"/>
  <c r="H63" i="22"/>
  <c r="L26" i="1" s="1"/>
  <c r="H32" i="20"/>
  <c r="AJ20" i="20"/>
  <c r="H39" i="20"/>
  <c r="J46" i="19"/>
  <c r="I91" i="1"/>
  <c r="I85" i="1"/>
  <c r="I95" i="1"/>
  <c r="I69" i="1"/>
  <c r="I63" i="1"/>
  <c r="I86" i="1"/>
  <c r="I89" i="1"/>
  <c r="I84" i="1"/>
  <c r="I74" i="1"/>
  <c r="I67" i="1"/>
  <c r="I62" i="1"/>
  <c r="I75" i="1"/>
  <c r="L46" i="19"/>
  <c r="G10" i="20"/>
  <c r="H61" i="1" s="1"/>
  <c r="X26" i="1"/>
  <c r="X27" i="1" s="1"/>
  <c r="I7" i="20"/>
  <c r="H18" i="20"/>
  <c r="H33" i="20"/>
  <c r="H35" i="20"/>
  <c r="H16" i="20"/>
  <c r="H34" i="20"/>
  <c r="H40" i="20"/>
  <c r="H11" i="20"/>
  <c r="H23" i="20"/>
  <c r="H44" i="20"/>
  <c r="H12" i="20"/>
  <c r="H38" i="20"/>
  <c r="H24" i="20"/>
  <c r="H17" i="20"/>
  <c r="I13" i="22"/>
  <c r="I15" i="22" s="1"/>
  <c r="I17" i="22" s="1"/>
  <c r="I8" i="22"/>
  <c r="I63" i="22"/>
  <c r="I43" i="22"/>
  <c r="I67" i="22"/>
  <c r="L7" i="20"/>
  <c r="AH25" i="25" l="1"/>
  <c r="AH26" i="25" s="1"/>
  <c r="AH57" i="25" s="1"/>
  <c r="AH68" i="25"/>
  <c r="E7" i="6"/>
  <c r="BS2" i="28"/>
  <c r="AT2" i="28"/>
  <c r="H142" i="24"/>
  <c r="P142" i="24" s="1"/>
  <c r="E16" i="25"/>
  <c r="F16" i="25" s="1"/>
  <c r="E12" i="25"/>
  <c r="F12" i="25" s="1"/>
  <c r="H136" i="24"/>
  <c r="H82" i="1"/>
  <c r="I82" i="1" s="1"/>
  <c r="E28" i="4"/>
  <c r="H83" i="1"/>
  <c r="I83" i="1" s="1"/>
  <c r="E29" i="4"/>
  <c r="H31" i="20"/>
  <c r="AJ29" i="20"/>
  <c r="AJ35" i="20"/>
  <c r="AJ36" i="20" s="1"/>
  <c r="G13" i="20"/>
  <c r="I70" i="1"/>
  <c r="G22" i="20"/>
  <c r="G25" i="20" s="1"/>
  <c r="H10" i="20"/>
  <c r="H13" i="20" s="1"/>
  <c r="J58" i="1"/>
  <c r="I10" i="20"/>
  <c r="J61" i="1" s="1"/>
  <c r="I34" i="20"/>
  <c r="J85" i="1" s="1"/>
  <c r="I39" i="20"/>
  <c r="J90" i="1" s="1"/>
  <c r="I44" i="20"/>
  <c r="J95" i="1" s="1"/>
  <c r="I16" i="20"/>
  <c r="J67" i="1" s="1"/>
  <c r="I18" i="20"/>
  <c r="J69" i="1" s="1"/>
  <c r="I17" i="20"/>
  <c r="J68" i="1" s="1"/>
  <c r="I38" i="20"/>
  <c r="J89" i="1" s="1"/>
  <c r="I30" i="20"/>
  <c r="J81" i="1" s="1"/>
  <c r="I35" i="20"/>
  <c r="J86" i="1" s="1"/>
  <c r="I40" i="20"/>
  <c r="J91" i="1" s="1"/>
  <c r="I24" i="20"/>
  <c r="J75" i="1" s="1"/>
  <c r="I11" i="20"/>
  <c r="I49" i="20" s="1"/>
  <c r="J100" i="1" s="1"/>
  <c r="I12" i="20"/>
  <c r="I23" i="20"/>
  <c r="J74" i="1" s="1"/>
  <c r="I33" i="20"/>
  <c r="J84" i="1" s="1"/>
  <c r="I22" i="20"/>
  <c r="J73" i="1" s="1"/>
  <c r="I32" i="20"/>
  <c r="J83" i="1" s="1"/>
  <c r="I31" i="20"/>
  <c r="J82" i="1" s="1"/>
  <c r="M58" i="1"/>
  <c r="L44" i="20"/>
  <c r="M95" i="1" s="1"/>
  <c r="L34" i="20"/>
  <c r="M85" i="1" s="1"/>
  <c r="L10" i="20"/>
  <c r="M61" i="1" s="1"/>
  <c r="L17" i="20"/>
  <c r="M68" i="1" s="1"/>
  <c r="L38" i="20"/>
  <c r="M89" i="1" s="1"/>
  <c r="L24" i="20"/>
  <c r="M75" i="1" s="1"/>
  <c r="L11" i="20"/>
  <c r="L40" i="20"/>
  <c r="M91" i="1" s="1"/>
  <c r="L16" i="20"/>
  <c r="M67" i="1" s="1"/>
  <c r="L12" i="20"/>
  <c r="M63" i="1" s="1"/>
  <c r="L35" i="20"/>
  <c r="M86" i="1" s="1"/>
  <c r="L39" i="20"/>
  <c r="L22" i="20"/>
  <c r="M73" i="1" s="1"/>
  <c r="L31" i="20"/>
  <c r="M82" i="1" s="1"/>
  <c r="L18" i="20"/>
  <c r="M69" i="1" s="1"/>
  <c r="L23" i="20"/>
  <c r="M74" i="1" s="1"/>
  <c r="L30" i="20"/>
  <c r="M81" i="1" s="1"/>
  <c r="L32" i="20"/>
  <c r="M83" i="1" s="1"/>
  <c r="L33" i="20"/>
  <c r="M84" i="1" s="1"/>
  <c r="H90" i="1"/>
  <c r="I90" i="1" s="1"/>
  <c r="E34" i="4"/>
  <c r="J7" i="20"/>
  <c r="H64" i="1"/>
  <c r="I61" i="1"/>
  <c r="I64" i="1" s="1"/>
  <c r="H19" i="20"/>
  <c r="K7" i="20"/>
  <c r="AH70" i="25" l="1"/>
  <c r="AH58" i="25"/>
  <c r="AH60" i="25" s="1"/>
  <c r="AH61" i="25" s="1"/>
  <c r="P136" i="24"/>
  <c r="G15" i="5"/>
  <c r="H22" i="20"/>
  <c r="H25" i="20" s="1"/>
  <c r="H27" i="20" s="1"/>
  <c r="G48" i="20"/>
  <c r="H99" i="1" s="1"/>
  <c r="G27" i="20"/>
  <c r="G36" i="20" s="1"/>
  <c r="G41" i="20" s="1"/>
  <c r="J87" i="1"/>
  <c r="J92" i="1" s="1"/>
  <c r="H73" i="1"/>
  <c r="H76" i="1" s="1"/>
  <c r="H78" i="1" s="1"/>
  <c r="X29" i="1" s="1"/>
  <c r="I36" i="20"/>
  <c r="I41" i="20" s="1"/>
  <c r="J76" i="1"/>
  <c r="I13" i="20"/>
  <c r="J70" i="1"/>
  <c r="J63" i="1"/>
  <c r="I50" i="20"/>
  <c r="J101" i="1" s="1"/>
  <c r="J62" i="1"/>
  <c r="I25" i="20"/>
  <c r="I19" i="20"/>
  <c r="I48" i="20" s="1"/>
  <c r="J99" i="1" s="1"/>
  <c r="K18" i="20"/>
  <c r="L69" i="1" s="1"/>
  <c r="K10" i="20"/>
  <c r="L61" i="1" s="1"/>
  <c r="K39" i="20"/>
  <c r="K23" i="20"/>
  <c r="L74" i="1" s="1"/>
  <c r="K12" i="20"/>
  <c r="K30" i="20"/>
  <c r="L81" i="1" s="1"/>
  <c r="K17" i="20"/>
  <c r="L68" i="1" s="1"/>
  <c r="K34" i="20"/>
  <c r="L85" i="1" s="1"/>
  <c r="K44" i="20"/>
  <c r="L95" i="1" s="1"/>
  <c r="K11" i="20"/>
  <c r="K33" i="20"/>
  <c r="L84" i="1" s="1"/>
  <c r="K35" i="20"/>
  <c r="L86" i="1" s="1"/>
  <c r="K32" i="20"/>
  <c r="L83" i="1" s="1"/>
  <c r="K22" i="20"/>
  <c r="L73" i="1" s="1"/>
  <c r="K24" i="20"/>
  <c r="L75" i="1" s="1"/>
  <c r="K38" i="20"/>
  <c r="L89" i="1" s="1"/>
  <c r="K31" i="20"/>
  <c r="L82" i="1" s="1"/>
  <c r="K40" i="20"/>
  <c r="L91" i="1" s="1"/>
  <c r="K16" i="20"/>
  <c r="L67" i="1" s="1"/>
  <c r="J38" i="20"/>
  <c r="K89" i="1" s="1"/>
  <c r="J23" i="20"/>
  <c r="K74" i="1" s="1"/>
  <c r="J35" i="20"/>
  <c r="K86" i="1" s="1"/>
  <c r="J22" i="20"/>
  <c r="K73" i="1" s="1"/>
  <c r="J34" i="20"/>
  <c r="K85" i="1" s="1"/>
  <c r="J18" i="20"/>
  <c r="K69" i="1" s="1"/>
  <c r="J12" i="20"/>
  <c r="K63" i="1" s="1"/>
  <c r="J30" i="20"/>
  <c r="K81" i="1" s="1"/>
  <c r="J39" i="20"/>
  <c r="K90" i="1" s="1"/>
  <c r="J10" i="20"/>
  <c r="K61" i="1" s="1"/>
  <c r="J33" i="20"/>
  <c r="K84" i="1" s="1"/>
  <c r="J17" i="20"/>
  <c r="K68" i="1" s="1"/>
  <c r="J32" i="20"/>
  <c r="K83" i="1" s="1"/>
  <c r="J16" i="20"/>
  <c r="K67" i="1" s="1"/>
  <c r="J44" i="20"/>
  <c r="K95" i="1" s="1"/>
  <c r="J31" i="20"/>
  <c r="K82" i="1" s="1"/>
  <c r="J40" i="20"/>
  <c r="K91" i="1" s="1"/>
  <c r="J11" i="20"/>
  <c r="K62" i="1" s="1"/>
  <c r="J24" i="20"/>
  <c r="K75" i="1" s="1"/>
  <c r="K58" i="1"/>
  <c r="H81" i="1"/>
  <c r="H87" i="1" s="1"/>
  <c r="H92" i="1" s="1"/>
  <c r="M70" i="1"/>
  <c r="M90" i="1"/>
  <c r="L49" i="20"/>
  <c r="M100" i="1" s="1"/>
  <c r="M62" i="1"/>
  <c r="M76" i="1"/>
  <c r="L58" i="1"/>
  <c r="M87" i="1"/>
  <c r="E27" i="4"/>
  <c r="H30" i="20"/>
  <c r="H36" i="20" s="1"/>
  <c r="H41" i="20" s="1"/>
  <c r="L50" i="20"/>
  <c r="M101" i="1" s="1"/>
  <c r="L36" i="20"/>
  <c r="L41" i="20" s="1"/>
  <c r="L13" i="20"/>
  <c r="L19" i="20"/>
  <c r="L48" i="20" s="1"/>
  <c r="M99" i="1" s="1"/>
  <c r="L25" i="20"/>
  <c r="AH62" i="25" l="1"/>
  <c r="AH69" i="25"/>
  <c r="AH71" i="25" s="1"/>
  <c r="AH73" i="25" s="1"/>
  <c r="X30" i="1"/>
  <c r="X31" i="1" s="1"/>
  <c r="F30" i="20"/>
  <c r="I73" i="1"/>
  <c r="I76" i="1" s="1"/>
  <c r="I78" i="1" s="1"/>
  <c r="G73" i="1"/>
  <c r="J64" i="1"/>
  <c r="J78" i="1" s="1"/>
  <c r="I27" i="20"/>
  <c r="I51" i="20" s="1"/>
  <c r="J102" i="1" s="1"/>
  <c r="I26" i="20"/>
  <c r="J50" i="20"/>
  <c r="K101" i="1" s="1"/>
  <c r="K76" i="1"/>
  <c r="J49" i="20"/>
  <c r="K100" i="1" s="1"/>
  <c r="K87" i="1"/>
  <c r="K92" i="1" s="1"/>
  <c r="J13" i="20"/>
  <c r="K64" i="1"/>
  <c r="J25" i="20"/>
  <c r="K70" i="1"/>
  <c r="G43" i="20"/>
  <c r="X34" i="1" s="1"/>
  <c r="I81" i="1"/>
  <c r="I87" i="1" s="1"/>
  <c r="I92" i="1" s="1"/>
  <c r="J36" i="20"/>
  <c r="J41" i="20" s="1"/>
  <c r="J19" i="20"/>
  <c r="J48" i="20" s="1"/>
  <c r="K99" i="1" s="1"/>
  <c r="M92" i="1"/>
  <c r="M64" i="1"/>
  <c r="M78" i="1" s="1"/>
  <c r="L87" i="1"/>
  <c r="H43" i="20"/>
  <c r="K49" i="20"/>
  <c r="L100" i="1" s="1"/>
  <c r="L62" i="1"/>
  <c r="L70" i="1"/>
  <c r="K50" i="20"/>
  <c r="L101" i="1" s="1"/>
  <c r="L63" i="1"/>
  <c r="H94" i="1"/>
  <c r="X33" i="1" s="1"/>
  <c r="L76" i="1"/>
  <c r="L90" i="1"/>
  <c r="G51" i="20"/>
  <c r="H102" i="1" s="1"/>
  <c r="K25" i="20"/>
  <c r="K19" i="20"/>
  <c r="K48" i="20" s="1"/>
  <c r="L99" i="1" s="1"/>
  <c r="K36" i="20"/>
  <c r="K41" i="20" s="1"/>
  <c r="K13" i="20"/>
  <c r="L26" i="20"/>
  <c r="L27" i="20"/>
  <c r="L43" i="20" s="1"/>
  <c r="AI56" i="25" l="1"/>
  <c r="AH74" i="25"/>
  <c r="AH75" i="25" s="1"/>
  <c r="AI55" i="25"/>
  <c r="AI24" i="25"/>
  <c r="I43" i="20"/>
  <c r="I94" i="1"/>
  <c r="J77" i="1"/>
  <c r="X35" i="1"/>
  <c r="K77" i="1"/>
  <c r="K78" i="1"/>
  <c r="K94" i="1" s="1"/>
  <c r="J26" i="20"/>
  <c r="J27" i="20"/>
  <c r="M77" i="1"/>
  <c r="L92" i="1"/>
  <c r="L64" i="1"/>
  <c r="L78" i="1" s="1"/>
  <c r="M94" i="1"/>
  <c r="J94" i="1"/>
  <c r="K26" i="20"/>
  <c r="K27" i="20"/>
  <c r="L51" i="20"/>
  <c r="M102" i="1" s="1"/>
  <c r="AI68" i="25" l="1"/>
  <c r="AI25" i="25"/>
  <c r="AI26" i="25" s="1"/>
  <c r="AI57" i="25" s="1"/>
  <c r="K51" i="20"/>
  <c r="L102" i="1" s="1"/>
  <c r="K43" i="20"/>
  <c r="J51" i="20"/>
  <c r="K102" i="1" s="1"/>
  <c r="J43" i="20"/>
  <c r="L77" i="1"/>
  <c r="L94" i="1"/>
  <c r="AI70" i="25" l="1"/>
  <c r="AI58" i="25"/>
  <c r="AI60" i="25" s="1"/>
  <c r="AI61" i="25" s="1"/>
  <c r="T13" i="11"/>
  <c r="F19" i="11"/>
  <c r="T7" i="11"/>
  <c r="P7" i="11"/>
  <c r="J7" i="11"/>
  <c r="F7" i="11"/>
  <c r="B5" i="11"/>
  <c r="AI62" i="25" l="1"/>
  <c r="AI69" i="25"/>
  <c r="AI71" i="25" s="1"/>
  <c r="AI73" i="25" s="1"/>
  <c r="E46" i="4"/>
  <c r="F46" i="4" s="1"/>
  <c r="G46" i="4" s="1"/>
  <c r="H46" i="4" s="1"/>
  <c r="I46" i="4" s="1"/>
  <c r="J46" i="4" s="1"/>
  <c r="K46" i="4" s="1"/>
  <c r="L46" i="4" s="1"/>
  <c r="M46" i="4" s="1"/>
  <c r="N46" i="4" s="1"/>
  <c r="O46" i="4" s="1"/>
  <c r="P46" i="4" s="1"/>
  <c r="Q46" i="4" s="1"/>
  <c r="R46" i="4" s="1"/>
  <c r="S46" i="4" s="1"/>
  <c r="G8" i="5"/>
  <c r="I8" i="5" s="1"/>
  <c r="I25" i="5" s="1"/>
  <c r="E52" i="1"/>
  <c r="R2" i="28" s="1"/>
  <c r="F8" i="4"/>
  <c r="F80" i="4" s="1"/>
  <c r="W194" i="7"/>
  <c r="V194" i="7"/>
  <c r="W193" i="7"/>
  <c r="V193" i="7"/>
  <c r="W192" i="7"/>
  <c r="V192" i="7"/>
  <c r="W191" i="7"/>
  <c r="V191" i="7"/>
  <c r="W190" i="7"/>
  <c r="V190" i="7"/>
  <c r="W189" i="7"/>
  <c r="V189" i="7"/>
  <c r="W188" i="7"/>
  <c r="V188" i="7"/>
  <c r="W187" i="7"/>
  <c r="V187" i="7"/>
  <c r="W186" i="7"/>
  <c r="V186" i="7"/>
  <c r="W185" i="7"/>
  <c r="V185" i="7"/>
  <c r="W184" i="7"/>
  <c r="V184" i="7"/>
  <c r="W183" i="7"/>
  <c r="V183" i="7"/>
  <c r="W182" i="7"/>
  <c r="V182" i="7"/>
  <c r="W181" i="7"/>
  <c r="V181" i="7"/>
  <c r="W180" i="7"/>
  <c r="V180" i="7"/>
  <c r="W179" i="7"/>
  <c r="V179" i="7"/>
  <c r="W178" i="7"/>
  <c r="V178" i="7"/>
  <c r="W177" i="7"/>
  <c r="V177" i="7"/>
  <c r="W176" i="7"/>
  <c r="V176" i="7"/>
  <c r="W175" i="7"/>
  <c r="V175" i="7"/>
  <c r="W174" i="7"/>
  <c r="V174" i="7"/>
  <c r="W173" i="7"/>
  <c r="V173" i="7"/>
  <c r="W172" i="7"/>
  <c r="V172" i="7"/>
  <c r="W171" i="7"/>
  <c r="V171" i="7"/>
  <c r="W170" i="7"/>
  <c r="V170" i="7"/>
  <c r="W169" i="7"/>
  <c r="V169" i="7"/>
  <c r="W168" i="7"/>
  <c r="V168" i="7"/>
  <c r="W167" i="7"/>
  <c r="V167" i="7"/>
  <c r="W166" i="7"/>
  <c r="V166" i="7"/>
  <c r="W165" i="7"/>
  <c r="V165" i="7"/>
  <c r="W164" i="7"/>
  <c r="V164" i="7"/>
  <c r="W163" i="7"/>
  <c r="V163" i="7"/>
  <c r="W162" i="7"/>
  <c r="V162" i="7"/>
  <c r="W161" i="7"/>
  <c r="V161" i="7"/>
  <c r="W160" i="7"/>
  <c r="V160" i="7"/>
  <c r="W159" i="7"/>
  <c r="V159" i="7"/>
  <c r="W158" i="7"/>
  <c r="V158" i="7"/>
  <c r="W157" i="7"/>
  <c r="V157" i="7"/>
  <c r="W156" i="7"/>
  <c r="V156" i="7"/>
  <c r="W155" i="7"/>
  <c r="V155" i="7"/>
  <c r="W154" i="7"/>
  <c r="V154" i="7"/>
  <c r="W153" i="7"/>
  <c r="V153" i="7"/>
  <c r="W152" i="7"/>
  <c r="V152" i="7"/>
  <c r="W151" i="7"/>
  <c r="V151" i="7"/>
  <c r="W150" i="7"/>
  <c r="V150" i="7"/>
  <c r="W149" i="7"/>
  <c r="V149" i="7"/>
  <c r="W148" i="7"/>
  <c r="V148" i="7"/>
  <c r="W147" i="7"/>
  <c r="V147" i="7"/>
  <c r="W146" i="7"/>
  <c r="V146" i="7"/>
  <c r="W145" i="7"/>
  <c r="V145" i="7"/>
  <c r="W144" i="7"/>
  <c r="V144" i="7"/>
  <c r="W143" i="7"/>
  <c r="V143" i="7"/>
  <c r="W142" i="7"/>
  <c r="V142" i="7"/>
  <c r="W141" i="7"/>
  <c r="V141" i="7"/>
  <c r="W140" i="7"/>
  <c r="V140" i="7"/>
  <c r="W139" i="7"/>
  <c r="V139" i="7"/>
  <c r="W138" i="7"/>
  <c r="V138" i="7"/>
  <c r="W137" i="7"/>
  <c r="V137" i="7"/>
  <c r="W136" i="7"/>
  <c r="V136" i="7"/>
  <c r="W135" i="7"/>
  <c r="V135" i="7"/>
  <c r="W134" i="7"/>
  <c r="V134" i="7"/>
  <c r="W133" i="7"/>
  <c r="V133" i="7"/>
  <c r="W132" i="7"/>
  <c r="V132" i="7"/>
  <c r="W131" i="7"/>
  <c r="V131" i="7"/>
  <c r="W130" i="7"/>
  <c r="V130" i="7"/>
  <c r="W129" i="7"/>
  <c r="V129" i="7"/>
  <c r="W128" i="7"/>
  <c r="V128" i="7"/>
  <c r="W127" i="7"/>
  <c r="V127" i="7"/>
  <c r="W126" i="7"/>
  <c r="V126" i="7"/>
  <c r="W125" i="7"/>
  <c r="V125" i="7"/>
  <c r="W124" i="7"/>
  <c r="V124" i="7"/>
  <c r="W123" i="7"/>
  <c r="V123" i="7"/>
  <c r="W122" i="7"/>
  <c r="V122" i="7"/>
  <c r="W121" i="7"/>
  <c r="V121" i="7"/>
  <c r="W120" i="7"/>
  <c r="V120" i="7"/>
  <c r="W119" i="7"/>
  <c r="V119" i="7"/>
  <c r="W118" i="7"/>
  <c r="V118" i="7"/>
  <c r="W117" i="7"/>
  <c r="V117" i="7"/>
  <c r="W116" i="7"/>
  <c r="V116" i="7"/>
  <c r="W115" i="7"/>
  <c r="V115" i="7"/>
  <c r="W114" i="7"/>
  <c r="V114" i="7"/>
  <c r="W113" i="7"/>
  <c r="V113" i="7"/>
  <c r="W112" i="7"/>
  <c r="V112" i="7"/>
  <c r="W111" i="7"/>
  <c r="V111" i="7"/>
  <c r="W110" i="7"/>
  <c r="V110" i="7"/>
  <c r="W109" i="7"/>
  <c r="V109" i="7"/>
  <c r="W108" i="7"/>
  <c r="V108" i="7"/>
  <c r="W107" i="7"/>
  <c r="V107" i="7"/>
  <c r="W106" i="7"/>
  <c r="V106" i="7"/>
  <c r="W105" i="7"/>
  <c r="V105" i="7"/>
  <c r="W104" i="7"/>
  <c r="V104" i="7"/>
  <c r="W103" i="7"/>
  <c r="V103" i="7"/>
  <c r="W102" i="7"/>
  <c r="V102" i="7"/>
  <c r="W101" i="7"/>
  <c r="V101" i="7"/>
  <c r="W100" i="7"/>
  <c r="V100" i="7"/>
  <c r="W99" i="7"/>
  <c r="V99" i="7"/>
  <c r="W98" i="7"/>
  <c r="V98" i="7"/>
  <c r="W97" i="7"/>
  <c r="V97" i="7"/>
  <c r="W96" i="7"/>
  <c r="V96" i="7"/>
  <c r="W95" i="7"/>
  <c r="V95" i="7"/>
  <c r="W94" i="7"/>
  <c r="V94" i="7"/>
  <c r="W93" i="7"/>
  <c r="V93" i="7"/>
  <c r="W92" i="7"/>
  <c r="V92" i="7"/>
  <c r="W91" i="7"/>
  <c r="V91" i="7"/>
  <c r="W90" i="7"/>
  <c r="V90" i="7"/>
  <c r="W89" i="7"/>
  <c r="V89" i="7"/>
  <c r="W88" i="7"/>
  <c r="V88" i="7"/>
  <c r="W87" i="7"/>
  <c r="V87" i="7"/>
  <c r="W86" i="7"/>
  <c r="V86" i="7"/>
  <c r="W85" i="7"/>
  <c r="V85" i="7"/>
  <c r="W84" i="7"/>
  <c r="V84" i="7"/>
  <c r="W83" i="7"/>
  <c r="V83" i="7"/>
  <c r="W82" i="7"/>
  <c r="V82" i="7"/>
  <c r="W81" i="7"/>
  <c r="V81" i="7"/>
  <c r="W80" i="7"/>
  <c r="V80" i="7"/>
  <c r="W79" i="7"/>
  <c r="V79" i="7"/>
  <c r="W78" i="7"/>
  <c r="V78" i="7"/>
  <c r="W77" i="7"/>
  <c r="V77" i="7"/>
  <c r="W76" i="7"/>
  <c r="V76" i="7"/>
  <c r="W75" i="7"/>
  <c r="V75" i="7"/>
  <c r="W74" i="7"/>
  <c r="V74" i="7"/>
  <c r="W73" i="7"/>
  <c r="V73" i="7"/>
  <c r="W72" i="7"/>
  <c r="V72" i="7"/>
  <c r="W71" i="7"/>
  <c r="V71" i="7"/>
  <c r="W70" i="7"/>
  <c r="V70" i="7"/>
  <c r="W69" i="7"/>
  <c r="V69" i="7"/>
  <c r="W68" i="7"/>
  <c r="V68" i="7"/>
  <c r="W67" i="7"/>
  <c r="V67" i="7"/>
  <c r="W66" i="7"/>
  <c r="V66" i="7"/>
  <c r="W65" i="7"/>
  <c r="V65" i="7"/>
  <c r="W64" i="7"/>
  <c r="V64" i="7"/>
  <c r="W63" i="7"/>
  <c r="V63" i="7"/>
  <c r="W62" i="7"/>
  <c r="V62" i="7"/>
  <c r="W61" i="7"/>
  <c r="V61" i="7"/>
  <c r="W60" i="7"/>
  <c r="V60" i="7"/>
  <c r="W59" i="7"/>
  <c r="V59" i="7"/>
  <c r="W58" i="7"/>
  <c r="V58" i="7"/>
  <c r="W57" i="7"/>
  <c r="V57" i="7"/>
  <c r="W56" i="7"/>
  <c r="V56" i="7"/>
  <c r="W55" i="7"/>
  <c r="V55" i="7"/>
  <c r="W54" i="7"/>
  <c r="V54" i="7"/>
  <c r="W53" i="7"/>
  <c r="V53" i="7"/>
  <c r="W52" i="7"/>
  <c r="V52" i="7"/>
  <c r="W51" i="7"/>
  <c r="V51" i="7"/>
  <c r="W50" i="7"/>
  <c r="V50" i="7"/>
  <c r="W49" i="7"/>
  <c r="V49" i="7"/>
  <c r="W48" i="7"/>
  <c r="V48" i="7"/>
  <c r="W47" i="7"/>
  <c r="V47" i="7"/>
  <c r="W46" i="7"/>
  <c r="V46" i="7"/>
  <c r="W45" i="7"/>
  <c r="V45" i="7"/>
  <c r="W44" i="7"/>
  <c r="V44" i="7"/>
  <c r="W43" i="7"/>
  <c r="V43" i="7"/>
  <c r="W42" i="7"/>
  <c r="V42" i="7"/>
  <c r="W41" i="7"/>
  <c r="V41" i="7"/>
  <c r="W40" i="7"/>
  <c r="V40" i="7"/>
  <c r="W39" i="7"/>
  <c r="V39" i="7"/>
  <c r="W38" i="7"/>
  <c r="V38" i="7"/>
  <c r="W37" i="7"/>
  <c r="V37" i="7"/>
  <c r="W36" i="7"/>
  <c r="V36" i="7"/>
  <c r="W35" i="7"/>
  <c r="V35" i="7"/>
  <c r="W34" i="7"/>
  <c r="V34" i="7"/>
  <c r="W33" i="7"/>
  <c r="V33" i="7"/>
  <c r="W32" i="7"/>
  <c r="V32" i="7"/>
  <c r="W31" i="7"/>
  <c r="V31" i="7"/>
  <c r="W30" i="7"/>
  <c r="V30" i="7"/>
  <c r="W29" i="7"/>
  <c r="V29" i="7"/>
  <c r="W28" i="7"/>
  <c r="V28" i="7"/>
  <c r="W27" i="7"/>
  <c r="V27" i="7"/>
  <c r="W26" i="7"/>
  <c r="V26" i="7"/>
  <c r="W25" i="7"/>
  <c r="V25" i="7"/>
  <c r="W24" i="7"/>
  <c r="V24" i="7"/>
  <c r="W23" i="7"/>
  <c r="V23" i="7"/>
  <c r="W22" i="7"/>
  <c r="V22" i="7"/>
  <c r="W21" i="7"/>
  <c r="V21" i="7"/>
  <c r="W20" i="7"/>
  <c r="V20" i="7"/>
  <c r="W19" i="7"/>
  <c r="V19" i="7"/>
  <c r="W18" i="7"/>
  <c r="V18" i="7"/>
  <c r="W17" i="7"/>
  <c r="V17" i="7"/>
  <c r="W16" i="7"/>
  <c r="V16" i="7"/>
  <c r="W15" i="7"/>
  <c r="V15" i="7"/>
  <c r="M15" i="7"/>
  <c r="L15" i="7"/>
  <c r="B16" i="7"/>
  <c r="C16" i="7"/>
  <c r="B17" i="7"/>
  <c r="C17" i="7"/>
  <c r="B18" i="7"/>
  <c r="C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B52" i="7"/>
  <c r="C52" i="7"/>
  <c r="B53" i="7"/>
  <c r="C53" i="7"/>
  <c r="B54" i="7"/>
  <c r="C54" i="7"/>
  <c r="B55" i="7"/>
  <c r="C55" i="7"/>
  <c r="B56" i="7"/>
  <c r="C56" i="7"/>
  <c r="B57" i="7"/>
  <c r="C57" i="7"/>
  <c r="B58" i="7"/>
  <c r="C58" i="7"/>
  <c r="B59" i="7"/>
  <c r="C59" i="7"/>
  <c r="B60" i="7"/>
  <c r="C60" i="7"/>
  <c r="B61" i="7"/>
  <c r="C61" i="7"/>
  <c r="B62" i="7"/>
  <c r="C62" i="7"/>
  <c r="B63" i="7"/>
  <c r="C63" i="7"/>
  <c r="B64" i="7"/>
  <c r="C64" i="7"/>
  <c r="B65" i="7"/>
  <c r="C65" i="7"/>
  <c r="B66" i="7"/>
  <c r="C66" i="7"/>
  <c r="B67" i="7"/>
  <c r="C67" i="7"/>
  <c r="B68" i="7"/>
  <c r="C68" i="7"/>
  <c r="B69" i="7"/>
  <c r="C69" i="7"/>
  <c r="B70" i="7"/>
  <c r="C70" i="7"/>
  <c r="B71" i="7"/>
  <c r="C71" i="7"/>
  <c r="B72" i="7"/>
  <c r="C72" i="7"/>
  <c r="B73" i="7"/>
  <c r="C73" i="7"/>
  <c r="B74" i="7"/>
  <c r="C74" i="7"/>
  <c r="B75" i="7"/>
  <c r="C75" i="7"/>
  <c r="B76" i="7"/>
  <c r="C76" i="7"/>
  <c r="B77" i="7"/>
  <c r="C77" i="7"/>
  <c r="B78" i="7"/>
  <c r="C78" i="7"/>
  <c r="B79" i="7"/>
  <c r="C79" i="7"/>
  <c r="B80" i="7"/>
  <c r="C80" i="7"/>
  <c r="B81" i="7"/>
  <c r="C81" i="7"/>
  <c r="B82" i="7"/>
  <c r="C82" i="7"/>
  <c r="B83" i="7"/>
  <c r="C83" i="7"/>
  <c r="B84" i="7"/>
  <c r="C84" i="7"/>
  <c r="B85" i="7"/>
  <c r="C85" i="7"/>
  <c r="B86" i="7"/>
  <c r="C86" i="7"/>
  <c r="B87" i="7"/>
  <c r="C87" i="7"/>
  <c r="B88" i="7"/>
  <c r="C88" i="7"/>
  <c r="B89" i="7"/>
  <c r="C89" i="7"/>
  <c r="B90" i="7"/>
  <c r="C90" i="7"/>
  <c r="B91" i="7"/>
  <c r="C91" i="7"/>
  <c r="B92" i="7"/>
  <c r="C92" i="7"/>
  <c r="B93" i="7"/>
  <c r="C93" i="7"/>
  <c r="B94" i="7"/>
  <c r="C94" i="7"/>
  <c r="B95" i="7"/>
  <c r="C95" i="7"/>
  <c r="B96" i="7"/>
  <c r="C96" i="7"/>
  <c r="B97" i="7"/>
  <c r="C97" i="7"/>
  <c r="B98" i="7"/>
  <c r="C98" i="7"/>
  <c r="B99" i="7"/>
  <c r="C99" i="7"/>
  <c r="B100" i="7"/>
  <c r="C100" i="7"/>
  <c r="B101" i="7"/>
  <c r="C101" i="7"/>
  <c r="B102" i="7"/>
  <c r="C102" i="7"/>
  <c r="B103" i="7"/>
  <c r="C103" i="7"/>
  <c r="B104" i="7"/>
  <c r="C104" i="7"/>
  <c r="B105" i="7"/>
  <c r="C105" i="7"/>
  <c r="B106" i="7"/>
  <c r="C106" i="7"/>
  <c r="B107" i="7"/>
  <c r="C107" i="7"/>
  <c r="B108" i="7"/>
  <c r="C108" i="7"/>
  <c r="B109" i="7"/>
  <c r="C109" i="7"/>
  <c r="B110" i="7"/>
  <c r="C110" i="7"/>
  <c r="B111" i="7"/>
  <c r="C111" i="7"/>
  <c r="B112" i="7"/>
  <c r="C112" i="7"/>
  <c r="B113" i="7"/>
  <c r="C113" i="7"/>
  <c r="B114" i="7"/>
  <c r="C114" i="7"/>
  <c r="B115" i="7"/>
  <c r="C115" i="7"/>
  <c r="B116" i="7"/>
  <c r="C116" i="7"/>
  <c r="B117" i="7"/>
  <c r="C117" i="7"/>
  <c r="B118" i="7"/>
  <c r="C118" i="7"/>
  <c r="B119" i="7"/>
  <c r="C119" i="7"/>
  <c r="B120" i="7"/>
  <c r="C120" i="7"/>
  <c r="B121" i="7"/>
  <c r="C121" i="7"/>
  <c r="B122" i="7"/>
  <c r="C122" i="7"/>
  <c r="B123" i="7"/>
  <c r="C123" i="7"/>
  <c r="B124" i="7"/>
  <c r="C124" i="7"/>
  <c r="B125" i="7"/>
  <c r="C125" i="7"/>
  <c r="B126" i="7"/>
  <c r="C126" i="7"/>
  <c r="B127" i="7"/>
  <c r="C127" i="7"/>
  <c r="B128" i="7"/>
  <c r="C128" i="7"/>
  <c r="B129" i="7"/>
  <c r="C129" i="7"/>
  <c r="B130" i="7"/>
  <c r="C130" i="7"/>
  <c r="B131" i="7"/>
  <c r="C131" i="7"/>
  <c r="B132" i="7"/>
  <c r="C132" i="7"/>
  <c r="B133" i="7"/>
  <c r="C133" i="7"/>
  <c r="B134" i="7"/>
  <c r="C134" i="7"/>
  <c r="B135" i="7"/>
  <c r="C135" i="7"/>
  <c r="B136" i="7"/>
  <c r="C136" i="7"/>
  <c r="B137" i="7"/>
  <c r="C137" i="7"/>
  <c r="B138" i="7"/>
  <c r="C138" i="7"/>
  <c r="B139" i="7"/>
  <c r="C139" i="7"/>
  <c r="B140" i="7"/>
  <c r="C140" i="7"/>
  <c r="B141" i="7"/>
  <c r="C141" i="7"/>
  <c r="B142" i="7"/>
  <c r="C142" i="7"/>
  <c r="B143" i="7"/>
  <c r="C143" i="7"/>
  <c r="B144" i="7"/>
  <c r="C144" i="7"/>
  <c r="B145" i="7"/>
  <c r="C145" i="7"/>
  <c r="B146" i="7"/>
  <c r="C146" i="7"/>
  <c r="B147" i="7"/>
  <c r="C147" i="7"/>
  <c r="B148" i="7"/>
  <c r="C148" i="7"/>
  <c r="B149" i="7"/>
  <c r="C149" i="7"/>
  <c r="B150" i="7"/>
  <c r="C150" i="7"/>
  <c r="B151" i="7"/>
  <c r="C151" i="7"/>
  <c r="B152" i="7"/>
  <c r="C152" i="7"/>
  <c r="B153" i="7"/>
  <c r="C153" i="7"/>
  <c r="B154" i="7"/>
  <c r="C154" i="7"/>
  <c r="B155" i="7"/>
  <c r="C155" i="7"/>
  <c r="B156" i="7"/>
  <c r="C156" i="7"/>
  <c r="B157" i="7"/>
  <c r="C157" i="7"/>
  <c r="B158" i="7"/>
  <c r="C158" i="7"/>
  <c r="B159" i="7"/>
  <c r="C159" i="7"/>
  <c r="B160" i="7"/>
  <c r="C160" i="7"/>
  <c r="B161" i="7"/>
  <c r="C161" i="7"/>
  <c r="B162" i="7"/>
  <c r="C162" i="7"/>
  <c r="B163" i="7"/>
  <c r="C163" i="7"/>
  <c r="B164" i="7"/>
  <c r="C164" i="7"/>
  <c r="B165" i="7"/>
  <c r="C165" i="7"/>
  <c r="B166" i="7"/>
  <c r="C166" i="7"/>
  <c r="B167" i="7"/>
  <c r="C167" i="7"/>
  <c r="B168" i="7"/>
  <c r="C168" i="7"/>
  <c r="B169" i="7"/>
  <c r="C169" i="7"/>
  <c r="B170" i="7"/>
  <c r="C170" i="7"/>
  <c r="B171" i="7"/>
  <c r="C171" i="7"/>
  <c r="B172" i="7"/>
  <c r="C172" i="7"/>
  <c r="B173" i="7"/>
  <c r="C173" i="7"/>
  <c r="B174" i="7"/>
  <c r="C174" i="7"/>
  <c r="B175" i="7"/>
  <c r="C175" i="7"/>
  <c r="B176" i="7"/>
  <c r="C176" i="7"/>
  <c r="B177" i="7"/>
  <c r="C177" i="7"/>
  <c r="B178" i="7"/>
  <c r="C178" i="7"/>
  <c r="B179" i="7"/>
  <c r="C179" i="7"/>
  <c r="B180" i="7"/>
  <c r="C180" i="7"/>
  <c r="B181" i="7"/>
  <c r="C181" i="7"/>
  <c r="B182" i="7"/>
  <c r="C182" i="7"/>
  <c r="B183" i="7"/>
  <c r="C183" i="7"/>
  <c r="B184" i="7"/>
  <c r="C184" i="7"/>
  <c r="B185" i="7"/>
  <c r="C185" i="7"/>
  <c r="B186" i="7"/>
  <c r="C186" i="7"/>
  <c r="B187" i="7"/>
  <c r="C187" i="7"/>
  <c r="B188" i="7"/>
  <c r="C188" i="7"/>
  <c r="B189" i="7"/>
  <c r="C189" i="7"/>
  <c r="B190" i="7"/>
  <c r="C190" i="7"/>
  <c r="B191" i="7"/>
  <c r="C191" i="7"/>
  <c r="B192" i="7"/>
  <c r="C192" i="7"/>
  <c r="B193" i="7"/>
  <c r="C193" i="7"/>
  <c r="B194" i="7"/>
  <c r="C194" i="7"/>
  <c r="C15" i="7"/>
  <c r="B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M92" i="7"/>
  <c r="M93" i="7"/>
  <c r="M94" i="7"/>
  <c r="M95" i="7"/>
  <c r="M96" i="7"/>
  <c r="M97" i="7"/>
  <c r="M98" i="7"/>
  <c r="M99" i="7"/>
  <c r="M100" i="7"/>
  <c r="M101" i="7"/>
  <c r="M102" i="7"/>
  <c r="M103" i="7"/>
  <c r="M104" i="7"/>
  <c r="M105" i="7"/>
  <c r="M106" i="7"/>
  <c r="M107" i="7"/>
  <c r="M108" i="7"/>
  <c r="M109" i="7"/>
  <c r="M110" i="7"/>
  <c r="M111" i="7"/>
  <c r="M112" i="7"/>
  <c r="M113" i="7"/>
  <c r="M114" i="7"/>
  <c r="M115" i="7"/>
  <c r="M116" i="7"/>
  <c r="M117" i="7"/>
  <c r="M118" i="7"/>
  <c r="M119" i="7"/>
  <c r="M120" i="7"/>
  <c r="M121" i="7"/>
  <c r="M122" i="7"/>
  <c r="M123" i="7"/>
  <c r="M124" i="7"/>
  <c r="M125" i="7"/>
  <c r="M126" i="7"/>
  <c r="M127" i="7"/>
  <c r="M128" i="7"/>
  <c r="M129" i="7"/>
  <c r="M130" i="7"/>
  <c r="M131" i="7"/>
  <c r="M132" i="7"/>
  <c r="M133" i="7"/>
  <c r="M134" i="7"/>
  <c r="M135" i="7"/>
  <c r="M136" i="7"/>
  <c r="M137" i="7"/>
  <c r="M138" i="7"/>
  <c r="M139" i="7"/>
  <c r="M140" i="7"/>
  <c r="M141" i="7"/>
  <c r="M142" i="7"/>
  <c r="M143" i="7"/>
  <c r="M144" i="7"/>
  <c r="M145" i="7"/>
  <c r="M146" i="7"/>
  <c r="M147" i="7"/>
  <c r="M148" i="7"/>
  <c r="M149" i="7"/>
  <c r="M150" i="7"/>
  <c r="M151" i="7"/>
  <c r="M152" i="7"/>
  <c r="M153" i="7"/>
  <c r="M154" i="7"/>
  <c r="M155" i="7"/>
  <c r="M156" i="7"/>
  <c r="M157" i="7"/>
  <c r="M158" i="7"/>
  <c r="M159" i="7"/>
  <c r="M160" i="7"/>
  <c r="M161" i="7"/>
  <c r="M162" i="7"/>
  <c r="M163" i="7"/>
  <c r="M164" i="7"/>
  <c r="M165" i="7"/>
  <c r="M166" i="7"/>
  <c r="M167" i="7"/>
  <c r="M168" i="7"/>
  <c r="M169" i="7"/>
  <c r="M170" i="7"/>
  <c r="M171" i="7"/>
  <c r="M172" i="7"/>
  <c r="M173" i="7"/>
  <c r="M174" i="7"/>
  <c r="M175" i="7"/>
  <c r="M176" i="7"/>
  <c r="M177" i="7"/>
  <c r="M178" i="7"/>
  <c r="M179" i="7"/>
  <c r="M180" i="7"/>
  <c r="M181" i="7"/>
  <c r="M182" i="7"/>
  <c r="M183" i="7"/>
  <c r="M184" i="7"/>
  <c r="M185" i="7"/>
  <c r="M186" i="7"/>
  <c r="M187" i="7"/>
  <c r="M188" i="7"/>
  <c r="M189" i="7"/>
  <c r="M190" i="7"/>
  <c r="M191" i="7"/>
  <c r="M192" i="7"/>
  <c r="M193" i="7"/>
  <c r="M194"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79" i="7"/>
  <c r="L80" i="7"/>
  <c r="L81" i="7"/>
  <c r="L82" i="7"/>
  <c r="L83" i="7"/>
  <c r="L84" i="7"/>
  <c r="L85" i="7"/>
  <c r="L86" i="7"/>
  <c r="L87" i="7"/>
  <c r="L88" i="7"/>
  <c r="L89" i="7"/>
  <c r="L90" i="7"/>
  <c r="L91" i="7"/>
  <c r="L92" i="7"/>
  <c r="L93" i="7"/>
  <c r="L94" i="7"/>
  <c r="L95" i="7"/>
  <c r="L96" i="7"/>
  <c r="L97" i="7"/>
  <c r="L98" i="7"/>
  <c r="L99" i="7"/>
  <c r="L100" i="7"/>
  <c r="L101" i="7"/>
  <c r="L102" i="7"/>
  <c r="L103" i="7"/>
  <c r="L104" i="7"/>
  <c r="L105" i="7"/>
  <c r="L106" i="7"/>
  <c r="L107" i="7"/>
  <c r="L108" i="7"/>
  <c r="L109" i="7"/>
  <c r="L110" i="7"/>
  <c r="L111" i="7"/>
  <c r="L112" i="7"/>
  <c r="L113" i="7"/>
  <c r="L114" i="7"/>
  <c r="L115" i="7"/>
  <c r="L116" i="7"/>
  <c r="L117" i="7"/>
  <c r="L118" i="7"/>
  <c r="L119" i="7"/>
  <c r="L120" i="7"/>
  <c r="L121" i="7"/>
  <c r="L122" i="7"/>
  <c r="L123" i="7"/>
  <c r="L124" i="7"/>
  <c r="L125" i="7"/>
  <c r="L126" i="7"/>
  <c r="L127" i="7"/>
  <c r="L128" i="7"/>
  <c r="L129" i="7"/>
  <c r="L130" i="7"/>
  <c r="L131" i="7"/>
  <c r="L132" i="7"/>
  <c r="L133" i="7"/>
  <c r="L134" i="7"/>
  <c r="L135" i="7"/>
  <c r="L136" i="7"/>
  <c r="L137" i="7"/>
  <c r="L138" i="7"/>
  <c r="L139" i="7"/>
  <c r="L140" i="7"/>
  <c r="L141" i="7"/>
  <c r="L142" i="7"/>
  <c r="L143" i="7"/>
  <c r="L144" i="7"/>
  <c r="L145" i="7"/>
  <c r="L146" i="7"/>
  <c r="L147" i="7"/>
  <c r="L148" i="7"/>
  <c r="L149" i="7"/>
  <c r="L150" i="7"/>
  <c r="L151" i="7"/>
  <c r="L152" i="7"/>
  <c r="L153" i="7"/>
  <c r="L154" i="7"/>
  <c r="L155" i="7"/>
  <c r="L156" i="7"/>
  <c r="L157" i="7"/>
  <c r="L158" i="7"/>
  <c r="L159" i="7"/>
  <c r="L160" i="7"/>
  <c r="L161" i="7"/>
  <c r="L162" i="7"/>
  <c r="L163" i="7"/>
  <c r="L164" i="7"/>
  <c r="L165" i="7"/>
  <c r="L166" i="7"/>
  <c r="L167" i="7"/>
  <c r="L168" i="7"/>
  <c r="L169" i="7"/>
  <c r="L170" i="7"/>
  <c r="L171" i="7"/>
  <c r="L172" i="7"/>
  <c r="L173" i="7"/>
  <c r="L174" i="7"/>
  <c r="L175" i="7"/>
  <c r="L176" i="7"/>
  <c r="L177" i="7"/>
  <c r="L178" i="7"/>
  <c r="L179" i="7"/>
  <c r="L180" i="7"/>
  <c r="L181" i="7"/>
  <c r="L182" i="7"/>
  <c r="L183" i="7"/>
  <c r="L184" i="7"/>
  <c r="L185" i="7"/>
  <c r="L186" i="7"/>
  <c r="L187" i="7"/>
  <c r="L188" i="7"/>
  <c r="L189" i="7"/>
  <c r="L190" i="7"/>
  <c r="L191" i="7"/>
  <c r="L192" i="7"/>
  <c r="L193" i="7"/>
  <c r="L194" i="7"/>
  <c r="B20" i="8"/>
  <c r="E20" i="8" s="1"/>
  <c r="B15" i="8"/>
  <c r="E15" i="8" s="1"/>
  <c r="B12" i="8"/>
  <c r="E12" i="8" s="1"/>
  <c r="B8" i="8"/>
  <c r="D8" i="8" s="1"/>
  <c r="E24" i="8"/>
  <c r="D24" i="8"/>
  <c r="C24" i="8"/>
  <c r="E23" i="8"/>
  <c r="D23" i="8"/>
  <c r="C23" i="8"/>
  <c r="E21" i="8"/>
  <c r="D21" i="8"/>
  <c r="C21" i="8"/>
  <c r="E18" i="8"/>
  <c r="D18" i="8"/>
  <c r="C18" i="8"/>
  <c r="E14" i="8"/>
  <c r="D14" i="8"/>
  <c r="C14" i="8"/>
  <c r="D24" i="6"/>
  <c r="M36" i="6"/>
  <c r="L36" i="6"/>
  <c r="K36" i="6"/>
  <c r="J36" i="6"/>
  <c r="I36" i="6"/>
  <c r="H36" i="6"/>
  <c r="G36" i="6"/>
  <c r="F36" i="6"/>
  <c r="E36" i="6"/>
  <c r="D36" i="6"/>
  <c r="E21" i="6"/>
  <c r="F21" i="6" s="1"/>
  <c r="G21" i="6" s="1"/>
  <c r="H21" i="6" s="1"/>
  <c r="M20" i="6"/>
  <c r="L20" i="6"/>
  <c r="K20" i="6"/>
  <c r="J20" i="6"/>
  <c r="I20" i="6"/>
  <c r="H20" i="6"/>
  <c r="G20" i="6"/>
  <c r="F20" i="6"/>
  <c r="E20" i="6"/>
  <c r="E22" i="6" s="1"/>
  <c r="E26" i="6" s="1"/>
  <c r="D20" i="6"/>
  <c r="D22" i="6" s="1"/>
  <c r="D26" i="6" s="1"/>
  <c r="D15" i="6"/>
  <c r="E15" i="6" s="1"/>
  <c r="F15" i="6" s="1"/>
  <c r="G15" i="6" s="1"/>
  <c r="H15" i="6" s="1"/>
  <c r="I15" i="6" s="1"/>
  <c r="J15" i="6" s="1"/>
  <c r="K15" i="6" s="1"/>
  <c r="L15" i="6" s="1"/>
  <c r="M15" i="6" s="1"/>
  <c r="D31" i="6" s="1"/>
  <c r="E31" i="6" s="1"/>
  <c r="F31" i="6" s="1"/>
  <c r="G31" i="6" s="1"/>
  <c r="H31" i="6" s="1"/>
  <c r="I31" i="6" s="1"/>
  <c r="J31" i="6" s="1"/>
  <c r="K31" i="6" s="1"/>
  <c r="L31" i="6" s="1"/>
  <c r="M31" i="6" s="1"/>
  <c r="V52" i="5"/>
  <c r="G14" i="5"/>
  <c r="V63" i="5" s="1"/>
  <c r="I35" i="5"/>
  <c r="I34" i="5"/>
  <c r="D16" i="4"/>
  <c r="E16" i="4" s="1"/>
  <c r="D12" i="4"/>
  <c r="E12" i="4" s="1"/>
  <c r="E20" i="4" s="1"/>
  <c r="D13" i="4"/>
  <c r="E13" i="4" s="1"/>
  <c r="E21" i="4" s="1"/>
  <c r="D11" i="4"/>
  <c r="E11" i="4" s="1"/>
  <c r="AI74" i="25" l="1"/>
  <c r="AI75" i="25" s="1"/>
  <c r="AJ56" i="25"/>
  <c r="AJ55" i="25"/>
  <c r="AJ24" i="25"/>
  <c r="E19" i="4"/>
  <c r="F39" i="4"/>
  <c r="AA30" i="19"/>
  <c r="E4" i="6"/>
  <c r="B5" i="8"/>
  <c r="E5" i="8" s="1"/>
  <c r="M16" i="1"/>
  <c r="G5" i="5"/>
  <c r="I5" i="5" s="1"/>
  <c r="B3" i="8"/>
  <c r="E3" i="8" s="1"/>
  <c r="E35" i="8" s="1"/>
  <c r="B7" i="8"/>
  <c r="E7" i="8" s="1"/>
  <c r="B4" i="8"/>
  <c r="B17" i="8"/>
  <c r="C17" i="8" s="1"/>
  <c r="C15" i="8"/>
  <c r="G22" i="6"/>
  <c r="G26" i="6" s="1"/>
  <c r="H22" i="6"/>
  <c r="H26" i="6" s="1"/>
  <c r="I21" i="6"/>
  <c r="F22" i="6"/>
  <c r="F26" i="6" s="1"/>
  <c r="B16" i="8"/>
  <c r="E16" i="8" s="1"/>
  <c r="H26" i="1"/>
  <c r="H25" i="1"/>
  <c r="H28" i="1"/>
  <c r="H27" i="1"/>
  <c r="H30" i="1"/>
  <c r="H29" i="1"/>
  <c r="D12" i="8"/>
  <c r="M25" i="1"/>
  <c r="M30" i="1"/>
  <c r="M19" i="1"/>
  <c r="M27" i="1"/>
  <c r="M26" i="1"/>
  <c r="M21" i="1"/>
  <c r="M18" i="1"/>
  <c r="M17" i="1"/>
  <c r="M20" i="1"/>
  <c r="C12" i="8"/>
  <c r="D15" i="8"/>
  <c r="H20" i="1"/>
  <c r="H24" i="1"/>
  <c r="H23" i="1"/>
  <c r="H22" i="1"/>
  <c r="H21" i="1"/>
  <c r="H19" i="1"/>
  <c r="D20" i="8"/>
  <c r="F16" i="4"/>
  <c r="G16" i="4" s="1"/>
  <c r="H16" i="4" s="1"/>
  <c r="I16" i="4" s="1"/>
  <c r="J16" i="4" s="1"/>
  <c r="K16" i="4" s="1"/>
  <c r="L16" i="4" s="1"/>
  <c r="M16" i="4" s="1"/>
  <c r="N16" i="4" s="1"/>
  <c r="O16" i="4" s="1"/>
  <c r="P16" i="4" s="1"/>
  <c r="Q16" i="4" s="1"/>
  <c r="R16" i="4" s="1"/>
  <c r="S16" i="4" s="1"/>
  <c r="G8" i="4"/>
  <c r="G80" i="4" s="1"/>
  <c r="I14" i="5"/>
  <c r="I15" i="5"/>
  <c r="E8" i="8"/>
  <c r="G25" i="5"/>
  <c r="C20" i="8"/>
  <c r="C8" i="8"/>
  <c r="F13" i="4"/>
  <c r="F21" i="4" s="1"/>
  <c r="F12" i="4"/>
  <c r="F20" i="4" s="1"/>
  <c r="AJ25" i="25" l="1"/>
  <c r="AJ26" i="25" s="1"/>
  <c r="AJ57" i="25" s="1"/>
  <c r="AJ68" i="25"/>
  <c r="G39" i="4"/>
  <c r="D5" i="8"/>
  <c r="C5" i="8"/>
  <c r="C7" i="8"/>
  <c r="E36" i="8"/>
  <c r="B36" i="8"/>
  <c r="E42" i="8"/>
  <c r="E29" i="8"/>
  <c r="C3" i="8"/>
  <c r="D7" i="8"/>
  <c r="B29" i="8"/>
  <c r="D3" i="8"/>
  <c r="D35" i="8" s="1"/>
  <c r="D63" i="8" s="1"/>
  <c r="B35" i="8"/>
  <c r="B28" i="8" s="1"/>
  <c r="B42" i="8"/>
  <c r="E17" i="8"/>
  <c r="D17" i="8"/>
  <c r="I22" i="6"/>
  <c r="I26" i="6" s="1"/>
  <c r="J21" i="6"/>
  <c r="D16" i="8"/>
  <c r="C16" i="8"/>
  <c r="B19" i="8"/>
  <c r="F35" i="4"/>
  <c r="G35" i="4" s="1"/>
  <c r="H35" i="4" s="1"/>
  <c r="I35" i="4" s="1"/>
  <c r="J35" i="4" s="1"/>
  <c r="K35" i="4" s="1"/>
  <c r="L35" i="4" s="1"/>
  <c r="M35" i="4" s="1"/>
  <c r="N35" i="4" s="1"/>
  <c r="O35" i="4" s="1"/>
  <c r="P35" i="4" s="1"/>
  <c r="Q35" i="4" s="1"/>
  <c r="R35" i="4" s="1"/>
  <c r="S35" i="4" s="1"/>
  <c r="H8" i="4"/>
  <c r="H80" i="4" s="1"/>
  <c r="B6" i="8"/>
  <c r="D6" i="8" s="1"/>
  <c r="E28" i="8"/>
  <c r="E63" i="8"/>
  <c r="G13" i="4"/>
  <c r="G21" i="4" s="1"/>
  <c r="G12" i="4"/>
  <c r="G20" i="4" s="1"/>
  <c r="AJ70" i="25" l="1"/>
  <c r="AJ58" i="25"/>
  <c r="AJ60" i="25" s="1"/>
  <c r="AJ61" i="25" s="1"/>
  <c r="H39" i="4"/>
  <c r="C36" i="8"/>
  <c r="C35" i="8"/>
  <c r="C28" i="8" s="1"/>
  <c r="C42" i="8"/>
  <c r="C29" i="8"/>
  <c r="D41" i="8"/>
  <c r="D28" i="8"/>
  <c r="D42" i="8"/>
  <c r="D36" i="8"/>
  <c r="B63" i="8"/>
  <c r="D29" i="8"/>
  <c r="J22" i="6"/>
  <c r="J26" i="6" s="1"/>
  <c r="K21" i="6"/>
  <c r="C19" i="8"/>
  <c r="E19" i="8"/>
  <c r="D19" i="8"/>
  <c r="I8" i="4"/>
  <c r="I80" i="4" s="1"/>
  <c r="E6" i="8"/>
  <c r="E41" i="8" s="1"/>
  <c r="E43" i="8" s="1"/>
  <c r="E44" i="8" s="1"/>
  <c r="C6" i="8"/>
  <c r="C41" i="8" s="1"/>
  <c r="B41" i="8"/>
  <c r="F31" i="4"/>
  <c r="G31" i="4" s="1"/>
  <c r="H31" i="4" s="1"/>
  <c r="I31" i="4" s="1"/>
  <c r="J31" i="4" s="1"/>
  <c r="K31" i="4" s="1"/>
  <c r="L31" i="4" s="1"/>
  <c r="M31" i="4" s="1"/>
  <c r="N31" i="4" s="1"/>
  <c r="O31" i="4" s="1"/>
  <c r="P31" i="4" s="1"/>
  <c r="Q31" i="4" s="1"/>
  <c r="R31" i="4" s="1"/>
  <c r="S31" i="4" s="1"/>
  <c r="F33" i="4"/>
  <c r="G33" i="4" s="1"/>
  <c r="H33" i="4" s="1"/>
  <c r="I33" i="4" s="1"/>
  <c r="J33" i="4" s="1"/>
  <c r="K33" i="4" s="1"/>
  <c r="L33" i="4" s="1"/>
  <c r="M33" i="4" s="1"/>
  <c r="N33" i="4" s="1"/>
  <c r="O33" i="4" s="1"/>
  <c r="P33" i="4" s="1"/>
  <c r="Q33" i="4" s="1"/>
  <c r="R33" i="4" s="1"/>
  <c r="S33" i="4" s="1"/>
  <c r="F29" i="4"/>
  <c r="G29" i="4" s="1"/>
  <c r="H29" i="4" s="1"/>
  <c r="I29" i="4" s="1"/>
  <c r="J29" i="4" s="1"/>
  <c r="K29" i="4" s="1"/>
  <c r="L29" i="4" s="1"/>
  <c r="M29" i="4" s="1"/>
  <c r="N29" i="4" s="1"/>
  <c r="O29" i="4" s="1"/>
  <c r="P29" i="4" s="1"/>
  <c r="Q29" i="4" s="1"/>
  <c r="R29" i="4" s="1"/>
  <c r="S29" i="4" s="1"/>
  <c r="F32" i="4"/>
  <c r="G32" i="4" s="1"/>
  <c r="H32" i="4" s="1"/>
  <c r="I32" i="4" s="1"/>
  <c r="J32" i="4" s="1"/>
  <c r="K32" i="4" s="1"/>
  <c r="L32" i="4" s="1"/>
  <c r="M32" i="4" s="1"/>
  <c r="N32" i="4" s="1"/>
  <c r="O32" i="4" s="1"/>
  <c r="P32" i="4" s="1"/>
  <c r="Q32" i="4" s="1"/>
  <c r="R32" i="4" s="1"/>
  <c r="S32" i="4" s="1"/>
  <c r="F28" i="4"/>
  <c r="G28" i="4" s="1"/>
  <c r="H28" i="4" s="1"/>
  <c r="I28" i="4" s="1"/>
  <c r="J28" i="4" s="1"/>
  <c r="K28" i="4" s="1"/>
  <c r="L28" i="4" s="1"/>
  <c r="M28" i="4" s="1"/>
  <c r="N28" i="4" s="1"/>
  <c r="O28" i="4" s="1"/>
  <c r="P28" i="4" s="1"/>
  <c r="Q28" i="4" s="1"/>
  <c r="R28" i="4" s="1"/>
  <c r="S28" i="4" s="1"/>
  <c r="F30" i="4"/>
  <c r="G30" i="4" s="1"/>
  <c r="H30" i="4" s="1"/>
  <c r="I30" i="4" s="1"/>
  <c r="J30" i="4" s="1"/>
  <c r="K30" i="4" s="1"/>
  <c r="L30" i="4" s="1"/>
  <c r="M30" i="4" s="1"/>
  <c r="N30" i="4" s="1"/>
  <c r="O30" i="4" s="1"/>
  <c r="P30" i="4" s="1"/>
  <c r="Q30" i="4" s="1"/>
  <c r="R30" i="4" s="1"/>
  <c r="S30" i="4" s="1"/>
  <c r="F11" i="4"/>
  <c r="F19" i="4" s="1"/>
  <c r="E14" i="4"/>
  <c r="E22" i="4"/>
  <c r="G6" i="5"/>
  <c r="G20" i="5" s="1"/>
  <c r="H12" i="4"/>
  <c r="H20" i="4" s="1"/>
  <c r="H13" i="4"/>
  <c r="H21" i="4" s="1"/>
  <c r="AJ62" i="25" l="1"/>
  <c r="AJ69" i="25"/>
  <c r="AJ71" i="25" s="1"/>
  <c r="AJ73" i="25" s="1"/>
  <c r="C43" i="8"/>
  <c r="C44" i="8" s="1"/>
  <c r="I39" i="4"/>
  <c r="C63" i="8"/>
  <c r="D43" i="8"/>
  <c r="D44" i="8" s="1"/>
  <c r="B10" i="8"/>
  <c r="C10" i="8" s="1"/>
  <c r="C47" i="8" s="1"/>
  <c r="B11" i="8"/>
  <c r="E11" i="8" s="1"/>
  <c r="E48" i="8" s="1"/>
  <c r="D25" i="6"/>
  <c r="L21" i="6"/>
  <c r="K22" i="6"/>
  <c r="K26" i="6" s="1"/>
  <c r="B43" i="8"/>
  <c r="B44" i="8" s="1"/>
  <c r="J8" i="4"/>
  <c r="J80" i="4" s="1"/>
  <c r="E24" i="4"/>
  <c r="C40" i="5" s="1"/>
  <c r="F34" i="4"/>
  <c r="C45" i="5"/>
  <c r="C44" i="5"/>
  <c r="G11" i="4"/>
  <c r="G19" i="4" s="1"/>
  <c r="F14" i="4"/>
  <c r="F22" i="4"/>
  <c r="I13" i="4"/>
  <c r="I21" i="4" s="1"/>
  <c r="I12" i="4"/>
  <c r="I20" i="4" s="1"/>
  <c r="AJ74" i="25" l="1"/>
  <c r="AJ75" i="25" s="1"/>
  <c r="AK56" i="25"/>
  <c r="AK24" i="25"/>
  <c r="AK55" i="25"/>
  <c r="J39" i="4"/>
  <c r="H41" i="5" s="1"/>
  <c r="D10" i="8"/>
  <c r="D47" i="8" s="1"/>
  <c r="B47" i="8"/>
  <c r="E10" i="8"/>
  <c r="E47" i="8" s="1"/>
  <c r="C11" i="8"/>
  <c r="C48" i="8" s="1"/>
  <c r="B48" i="8"/>
  <c r="D11" i="8"/>
  <c r="D48" i="8" s="1"/>
  <c r="E25" i="6"/>
  <c r="F25" i="6" s="1"/>
  <c r="G25" i="6" s="1"/>
  <c r="H25" i="6" s="1"/>
  <c r="I25" i="6" s="1"/>
  <c r="J25" i="6" s="1"/>
  <c r="K25" i="6" s="1"/>
  <c r="L25" i="6" s="1"/>
  <c r="M25" i="6" s="1"/>
  <c r="D41" i="6" s="1"/>
  <c r="E41" i="6" s="1"/>
  <c r="F41" i="6" s="1"/>
  <c r="G41" i="6" s="1"/>
  <c r="H41" i="6" s="1"/>
  <c r="I41" i="6" s="1"/>
  <c r="J41" i="6" s="1"/>
  <c r="K41" i="6" s="1"/>
  <c r="L41" i="6" s="1"/>
  <c r="M41" i="6" s="1"/>
  <c r="D27" i="6"/>
  <c r="D28" i="6" s="1"/>
  <c r="M21" i="6"/>
  <c r="L22" i="6"/>
  <c r="L26" i="6" s="1"/>
  <c r="K8" i="4"/>
  <c r="K80" i="4" s="1"/>
  <c r="C56" i="5"/>
  <c r="D56" i="5" s="1"/>
  <c r="E56" i="5" s="1"/>
  <c r="F56" i="5" s="1"/>
  <c r="G56" i="5" s="1"/>
  <c r="H56" i="5" s="1"/>
  <c r="I56" i="5" s="1"/>
  <c r="J56" i="5" s="1"/>
  <c r="K56" i="5" s="1"/>
  <c r="L56" i="5" s="1"/>
  <c r="M56" i="5" s="1"/>
  <c r="N56" i="5" s="1"/>
  <c r="O56" i="5" s="1"/>
  <c r="P56" i="5" s="1"/>
  <c r="C68" i="5"/>
  <c r="G7" i="5"/>
  <c r="G34" i="4"/>
  <c r="D45" i="5"/>
  <c r="D41" i="5"/>
  <c r="G41" i="5"/>
  <c r="G65" i="5" s="1"/>
  <c r="F41" i="5"/>
  <c r="E41" i="5"/>
  <c r="C41" i="5"/>
  <c r="C42" i="5" s="1"/>
  <c r="B9" i="8"/>
  <c r="F27" i="4"/>
  <c r="D44" i="5" s="1"/>
  <c r="D68" i="5" s="1"/>
  <c r="E36" i="4"/>
  <c r="H69" i="22" s="1"/>
  <c r="C69" i="5"/>
  <c r="C57" i="5"/>
  <c r="J13" i="4"/>
  <c r="J21" i="4" s="1"/>
  <c r="F24" i="4"/>
  <c r="C64" i="5"/>
  <c r="C52" i="5"/>
  <c r="H11" i="4"/>
  <c r="H19" i="4" s="1"/>
  <c r="G14" i="4"/>
  <c r="G22" i="4"/>
  <c r="J12" i="4"/>
  <c r="J20" i="4" s="1"/>
  <c r="AK25" i="25" l="1"/>
  <c r="AK26" i="25" s="1"/>
  <c r="AK57" i="25" s="1"/>
  <c r="AK68" i="25"/>
  <c r="C43" i="5"/>
  <c r="C55" i="5" s="1"/>
  <c r="K39" i="4"/>
  <c r="I41" i="5" s="1"/>
  <c r="E24" i="6"/>
  <c r="D37" i="6"/>
  <c r="M22" i="6"/>
  <c r="M26" i="6" s="1"/>
  <c r="L8" i="4"/>
  <c r="L80" i="4" s="1"/>
  <c r="G24" i="4"/>
  <c r="E40" i="5" s="1"/>
  <c r="Q56" i="5"/>
  <c r="G53" i="5"/>
  <c r="G27" i="4"/>
  <c r="E44" i="5" s="1"/>
  <c r="E68" i="5" s="1"/>
  <c r="F36" i="4"/>
  <c r="D43" i="5" s="1"/>
  <c r="D55" i="5" s="1"/>
  <c r="C53" i="5"/>
  <c r="C54" i="5" s="1"/>
  <c r="C65" i="5"/>
  <c r="C66" i="5" s="1"/>
  <c r="D65" i="5"/>
  <c r="D53" i="5"/>
  <c r="B46" i="8"/>
  <c r="B49" i="8" s="1"/>
  <c r="B51" i="8" s="1"/>
  <c r="E9" i="8"/>
  <c r="E46" i="8" s="1"/>
  <c r="E49" i="8" s="1"/>
  <c r="E51" i="8" s="1"/>
  <c r="D9" i="8"/>
  <c r="D46" i="8" s="1"/>
  <c r="D49" i="8" s="1"/>
  <c r="D51" i="8" s="1"/>
  <c r="C9" i="8"/>
  <c r="C46" i="8" s="1"/>
  <c r="C49" i="8" s="1"/>
  <c r="C51" i="8" s="1"/>
  <c r="F65" i="5"/>
  <c r="F53" i="5"/>
  <c r="E53" i="5"/>
  <c r="E65" i="5"/>
  <c r="D69" i="5"/>
  <c r="D57" i="5"/>
  <c r="G9" i="5"/>
  <c r="G30" i="5" s="1"/>
  <c r="E38" i="4"/>
  <c r="H34" i="4"/>
  <c r="E45" i="5"/>
  <c r="H65" i="5"/>
  <c r="H53" i="5"/>
  <c r="I11" i="4"/>
  <c r="I19" i="4" s="1"/>
  <c r="H22" i="4"/>
  <c r="H14" i="4"/>
  <c r="D40" i="5"/>
  <c r="K12" i="4"/>
  <c r="K20" i="4" s="1"/>
  <c r="D52" i="5"/>
  <c r="K13" i="4"/>
  <c r="K21" i="4" s="1"/>
  <c r="AK70" i="25" l="1"/>
  <c r="AK58" i="25"/>
  <c r="AK60" i="25" s="1"/>
  <c r="AK61" i="25" s="1"/>
  <c r="L28" i="1"/>
  <c r="I69" i="22"/>
  <c r="L39" i="4"/>
  <c r="J41" i="5" s="1"/>
  <c r="G35" i="24"/>
  <c r="M35" i="24"/>
  <c r="E27" i="6"/>
  <c r="F24" i="6" s="1"/>
  <c r="E37" i="6"/>
  <c r="D38" i="6"/>
  <c r="D42" i="6" s="1"/>
  <c r="H24" i="4"/>
  <c r="F40" i="5" s="1"/>
  <c r="M8" i="4"/>
  <c r="M80" i="4" s="1"/>
  <c r="F38" i="4"/>
  <c r="F40" i="4" s="1"/>
  <c r="E40" i="4"/>
  <c r="M47" i="24" s="1"/>
  <c r="B61" i="8"/>
  <c r="B64" i="8"/>
  <c r="C67" i="5"/>
  <c r="D67" i="5" s="1"/>
  <c r="C64" i="8"/>
  <c r="C61" i="8"/>
  <c r="E69" i="5"/>
  <c r="E57" i="5"/>
  <c r="D64" i="8"/>
  <c r="D61" i="8"/>
  <c r="H27" i="4"/>
  <c r="F44" i="5" s="1"/>
  <c r="F68" i="5" s="1"/>
  <c r="G36" i="4"/>
  <c r="E43" i="5" s="1"/>
  <c r="E55" i="5" s="1"/>
  <c r="I34" i="4"/>
  <c r="F45" i="5"/>
  <c r="E61" i="8"/>
  <c r="E64" i="8"/>
  <c r="I53" i="5"/>
  <c r="I65" i="5"/>
  <c r="E64" i="5"/>
  <c r="E66" i="5" s="1"/>
  <c r="E42" i="5"/>
  <c r="J11" i="4"/>
  <c r="J19" i="4" s="1"/>
  <c r="I14" i="4"/>
  <c r="I22" i="4"/>
  <c r="L13" i="4"/>
  <c r="L21" i="4" s="1"/>
  <c r="L12" i="4"/>
  <c r="L20" i="4" s="1"/>
  <c r="E52" i="5"/>
  <c r="D54" i="5"/>
  <c r="D42" i="5"/>
  <c r="D64" i="5"/>
  <c r="D66" i="5" s="1"/>
  <c r="AK62" i="25" l="1"/>
  <c r="AK69" i="25"/>
  <c r="AK71" i="25" s="1"/>
  <c r="AK73" i="25" s="1"/>
  <c r="AK74" i="25" s="1"/>
  <c r="AK75" i="25" s="1"/>
  <c r="M37" i="24"/>
  <c r="L109" i="1" s="1"/>
  <c r="L107" i="1"/>
  <c r="M49" i="24"/>
  <c r="L119" i="1"/>
  <c r="L121" i="1" s="1"/>
  <c r="G37" i="24"/>
  <c r="G107" i="1"/>
  <c r="H144" i="24"/>
  <c r="E18" i="25"/>
  <c r="M39" i="4"/>
  <c r="K41" i="5" s="1"/>
  <c r="E28" i="6"/>
  <c r="F27" i="6"/>
  <c r="G24" i="6" s="1"/>
  <c r="F37" i="6"/>
  <c r="E38" i="6"/>
  <c r="E42" i="6" s="1"/>
  <c r="N8" i="4"/>
  <c r="E67" i="5"/>
  <c r="I24" i="4"/>
  <c r="G40" i="5" s="1"/>
  <c r="I27" i="4"/>
  <c r="G44" i="5" s="1"/>
  <c r="G68" i="5" s="1"/>
  <c r="H36" i="4"/>
  <c r="F43" i="5" s="1"/>
  <c r="F55" i="5" s="1"/>
  <c r="G10" i="5"/>
  <c r="F69" i="5"/>
  <c r="F57" i="5"/>
  <c r="J34" i="4"/>
  <c r="G45" i="5"/>
  <c r="G38" i="4"/>
  <c r="G40" i="4" s="1"/>
  <c r="J65" i="5"/>
  <c r="J53" i="5"/>
  <c r="E54" i="5"/>
  <c r="F52" i="5"/>
  <c r="F64" i="5"/>
  <c r="F66" i="5" s="1"/>
  <c r="F42" i="5"/>
  <c r="M13" i="4"/>
  <c r="M21" i="4" s="1"/>
  <c r="K11" i="4"/>
  <c r="K19" i="4" s="1"/>
  <c r="J22" i="4"/>
  <c r="J14" i="4"/>
  <c r="M12" i="4"/>
  <c r="M20" i="4" s="1"/>
  <c r="G109" i="1" l="1"/>
  <c r="G40" i="24"/>
  <c r="G47" i="24" s="1"/>
  <c r="P144" i="24"/>
  <c r="AM18" i="25"/>
  <c r="AN18" i="25" s="1"/>
  <c r="F18" i="25"/>
  <c r="AJ10" i="20"/>
  <c r="AJ31" i="20"/>
  <c r="N39" i="4"/>
  <c r="L41" i="5" s="1"/>
  <c r="F28" i="6"/>
  <c r="G27" i="6"/>
  <c r="G28" i="6" s="1"/>
  <c r="G37" i="6"/>
  <c r="F38" i="6"/>
  <c r="F42" i="6" s="1"/>
  <c r="O8" i="4"/>
  <c r="O80" i="4" s="1"/>
  <c r="J24" i="4"/>
  <c r="H40" i="5" s="1"/>
  <c r="F67" i="5"/>
  <c r="J27" i="4"/>
  <c r="H44" i="5" s="1"/>
  <c r="H68" i="5" s="1"/>
  <c r="I36" i="4"/>
  <c r="G43" i="5" s="1"/>
  <c r="G55" i="5" s="1"/>
  <c r="G57" i="5"/>
  <c r="G69" i="5"/>
  <c r="K34" i="4"/>
  <c r="H45" i="5"/>
  <c r="H38" i="4"/>
  <c r="H40" i="4" s="1"/>
  <c r="K53" i="5"/>
  <c r="K65" i="5"/>
  <c r="N13" i="4"/>
  <c r="N21" i="4" s="1"/>
  <c r="G42" i="5"/>
  <c r="G64" i="5"/>
  <c r="G66" i="5" s="1"/>
  <c r="L11" i="4"/>
  <c r="L19" i="4" s="1"/>
  <c r="K22" i="4"/>
  <c r="K14" i="4"/>
  <c r="N12" i="4"/>
  <c r="N20" i="4" s="1"/>
  <c r="G52" i="5"/>
  <c r="F54" i="5"/>
  <c r="G42" i="24" l="1"/>
  <c r="G76" i="24"/>
  <c r="G112" i="1"/>
  <c r="G49" i="24"/>
  <c r="G119" i="1"/>
  <c r="G121" i="1" s="1"/>
  <c r="AJ22" i="20"/>
  <c r="AJ26" i="20" s="1"/>
  <c r="O39" i="4"/>
  <c r="M41" i="5" s="1"/>
  <c r="H24" i="6"/>
  <c r="H27" i="6" s="1"/>
  <c r="H28" i="6" s="1"/>
  <c r="H37" i="6"/>
  <c r="G38" i="6"/>
  <c r="G42" i="6" s="1"/>
  <c r="P8" i="4"/>
  <c r="P80" i="4" s="1"/>
  <c r="G67" i="5"/>
  <c r="K24" i="4"/>
  <c r="I40" i="5" s="1"/>
  <c r="L34" i="4"/>
  <c r="I45" i="5"/>
  <c r="I38" i="4"/>
  <c r="I40" i="4" s="1"/>
  <c r="H57" i="5"/>
  <c r="H69" i="5"/>
  <c r="K27" i="4"/>
  <c r="I44" i="5" s="1"/>
  <c r="I68" i="5" s="1"/>
  <c r="J36" i="4"/>
  <c r="H43" i="5" s="1"/>
  <c r="H55" i="5" s="1"/>
  <c r="L53" i="5"/>
  <c r="L65" i="5"/>
  <c r="M11" i="4"/>
  <c r="M19" i="4" s="1"/>
  <c r="L14" i="4"/>
  <c r="L22" i="4"/>
  <c r="G54" i="5"/>
  <c r="H52" i="5"/>
  <c r="O12" i="4"/>
  <c r="O20" i="4" s="1"/>
  <c r="O13" i="4"/>
  <c r="O21" i="4" s="1"/>
  <c r="H42" i="5"/>
  <c r="H64" i="5"/>
  <c r="H66" i="5" s="1"/>
  <c r="G114" i="1" l="1"/>
  <c r="B13" i="8"/>
  <c r="G148" i="1"/>
  <c r="G149" i="1" s="1"/>
  <c r="G151" i="1" s="1"/>
  <c r="G77" i="24"/>
  <c r="G79" i="24" s="1"/>
  <c r="AJ23" i="20"/>
  <c r="AJ24" i="20" s="1"/>
  <c r="AJ28" i="20"/>
  <c r="AJ32" i="20" s="1"/>
  <c r="P39" i="4"/>
  <c r="N41" i="5" s="1"/>
  <c r="I24" i="6"/>
  <c r="I37" i="6"/>
  <c r="H38" i="6"/>
  <c r="H42" i="6" s="1"/>
  <c r="Q8" i="4"/>
  <c r="Q80" i="4" s="1"/>
  <c r="H67" i="5"/>
  <c r="L24" i="4"/>
  <c r="J40" i="5" s="1"/>
  <c r="I57" i="5"/>
  <c r="I69" i="5"/>
  <c r="J38" i="4"/>
  <c r="J40" i="4" s="1"/>
  <c r="L27" i="4"/>
  <c r="J44" i="5" s="1"/>
  <c r="J68" i="5" s="1"/>
  <c r="K36" i="4"/>
  <c r="I43" i="5" s="1"/>
  <c r="I55" i="5" s="1"/>
  <c r="M34" i="4"/>
  <c r="J45" i="5"/>
  <c r="M65" i="5"/>
  <c r="M53" i="5"/>
  <c r="I52" i="5"/>
  <c r="H54" i="5"/>
  <c r="I64" i="5"/>
  <c r="I66" i="5" s="1"/>
  <c r="I42" i="5"/>
  <c r="P13" i="4"/>
  <c r="P21" i="4" s="1"/>
  <c r="P12" i="4"/>
  <c r="P20" i="4" s="1"/>
  <c r="N11" i="4"/>
  <c r="N19" i="4" s="1"/>
  <c r="M14" i="4"/>
  <c r="M22" i="4"/>
  <c r="E13" i="8" l="1"/>
  <c r="E62" i="8" s="1"/>
  <c r="E27" i="8" s="1"/>
  <c r="E53" i="8" s="1"/>
  <c r="E57" i="8" s="1"/>
  <c r="D13" i="8"/>
  <c r="D62" i="8" s="1"/>
  <c r="D27" i="8" s="1"/>
  <c r="D53" i="8" s="1"/>
  <c r="D57" i="8" s="1"/>
  <c r="C13" i="8"/>
  <c r="C62" i="8" s="1"/>
  <c r="C27" i="8" s="1"/>
  <c r="C53" i="8" s="1"/>
  <c r="C57" i="8" s="1"/>
  <c r="B62" i="8"/>
  <c r="B27" i="8" s="1"/>
  <c r="B53" i="8" s="1"/>
  <c r="B57" i="8" s="1"/>
  <c r="AJ38" i="20"/>
  <c r="AJ39" i="20" s="1"/>
  <c r="AJ40" i="20" s="1"/>
  <c r="Q39" i="4"/>
  <c r="O41" i="5" s="1"/>
  <c r="I27" i="6"/>
  <c r="I28" i="6" s="1"/>
  <c r="J37" i="6"/>
  <c r="I38" i="6"/>
  <c r="I42" i="6" s="1"/>
  <c r="R8" i="4"/>
  <c r="R80" i="4" s="1"/>
  <c r="I67" i="5"/>
  <c r="K38" i="4"/>
  <c r="K40" i="4" s="1"/>
  <c r="M27" i="4"/>
  <c r="K44" i="5" s="1"/>
  <c r="K68" i="5" s="1"/>
  <c r="L36" i="4"/>
  <c r="J43" i="5" s="1"/>
  <c r="J55" i="5" s="1"/>
  <c r="J69" i="5"/>
  <c r="J57" i="5"/>
  <c r="N34" i="4"/>
  <c r="K45" i="5"/>
  <c r="N65" i="5"/>
  <c r="N53" i="5"/>
  <c r="Q12" i="4"/>
  <c r="Q20" i="4" s="1"/>
  <c r="M24" i="4"/>
  <c r="O11" i="4"/>
  <c r="O19" i="4" s="1"/>
  <c r="N22" i="4"/>
  <c r="N14" i="4"/>
  <c r="Q13" i="4"/>
  <c r="Q21" i="4" s="1"/>
  <c r="J42" i="5"/>
  <c r="J64" i="5"/>
  <c r="J66" i="5" s="1"/>
  <c r="J52" i="5"/>
  <c r="I54" i="5"/>
  <c r="AJ43" i="20" l="1"/>
  <c r="AJ42" i="20"/>
  <c r="R39" i="4"/>
  <c r="P41" i="5" s="1"/>
  <c r="J24" i="6"/>
  <c r="K37" i="6"/>
  <c r="J38" i="6"/>
  <c r="J42" i="6" s="1"/>
  <c r="S8" i="4"/>
  <c r="N24" i="4"/>
  <c r="L40" i="5" s="1"/>
  <c r="J67" i="5"/>
  <c r="K69" i="5"/>
  <c r="K57" i="5"/>
  <c r="L38" i="4"/>
  <c r="L40" i="4" s="1"/>
  <c r="N27" i="4"/>
  <c r="L44" i="5" s="1"/>
  <c r="L68" i="5" s="1"/>
  <c r="M36" i="4"/>
  <c r="K43" i="5" s="1"/>
  <c r="K55" i="5" s="1"/>
  <c r="O34" i="4"/>
  <c r="L45" i="5"/>
  <c r="O65" i="5"/>
  <c r="O53" i="5"/>
  <c r="P11" i="4"/>
  <c r="P19" i="4" s="1"/>
  <c r="O14" i="4"/>
  <c r="O22" i="4"/>
  <c r="R13" i="4"/>
  <c r="R21" i="4" s="1"/>
  <c r="K40" i="5"/>
  <c r="K52" i="5"/>
  <c r="J54" i="5"/>
  <c r="R12" i="4"/>
  <c r="R20" i="4" s="1"/>
  <c r="AJ45" i="20" l="1"/>
  <c r="AJ46" i="20" s="1"/>
  <c r="S39" i="4"/>
  <c r="Q41" i="5" s="1"/>
  <c r="Q53" i="5" s="1"/>
  <c r="J27" i="6"/>
  <c r="J28" i="6" s="1"/>
  <c r="K38" i="6"/>
  <c r="K42" i="6" s="1"/>
  <c r="L37" i="6"/>
  <c r="K67" i="5"/>
  <c r="O24" i="4"/>
  <c r="M40" i="5" s="1"/>
  <c r="L57" i="5"/>
  <c r="L69" i="5"/>
  <c r="O27" i="4"/>
  <c r="M44" i="5" s="1"/>
  <c r="M68" i="5" s="1"/>
  <c r="N36" i="4"/>
  <c r="L43" i="5" s="1"/>
  <c r="L55" i="5" s="1"/>
  <c r="M38" i="4"/>
  <c r="M40" i="4" s="1"/>
  <c r="P34" i="4"/>
  <c r="M45" i="5"/>
  <c r="P53" i="5"/>
  <c r="P65" i="5"/>
  <c r="S13" i="4"/>
  <c r="S21" i="4" s="1"/>
  <c r="S12" i="4"/>
  <c r="S20" i="4" s="1"/>
  <c r="Q11" i="4"/>
  <c r="Q19" i="4" s="1"/>
  <c r="P14" i="4"/>
  <c r="P22" i="4"/>
  <c r="L52" i="5"/>
  <c r="K54" i="5"/>
  <c r="L64" i="5"/>
  <c r="L66" i="5" s="1"/>
  <c r="L42" i="5"/>
  <c r="K42" i="5"/>
  <c r="K64" i="5"/>
  <c r="K66" i="5" s="1"/>
  <c r="O89" i="1" l="1"/>
  <c r="P8" i="11"/>
  <c r="N38" i="20"/>
  <c r="K24" i="6"/>
  <c r="K27" i="6" s="1"/>
  <c r="K28" i="6" s="1"/>
  <c r="M37" i="6"/>
  <c r="L38" i="6"/>
  <c r="L42" i="6" s="1"/>
  <c r="Q65" i="5"/>
  <c r="L67" i="5"/>
  <c r="N38" i="4"/>
  <c r="N40" i="4" s="1"/>
  <c r="Q34" i="4"/>
  <c r="N45" i="5"/>
  <c r="P27" i="4"/>
  <c r="N44" i="5" s="1"/>
  <c r="N68" i="5" s="1"/>
  <c r="O36" i="4"/>
  <c r="M43" i="5" s="1"/>
  <c r="M55" i="5" s="1"/>
  <c r="M57" i="5"/>
  <c r="M69" i="5"/>
  <c r="M64" i="5"/>
  <c r="M66" i="5" s="1"/>
  <c r="M42" i="5"/>
  <c r="P24" i="4"/>
  <c r="M52" i="5"/>
  <c r="L54" i="5"/>
  <c r="R11" i="4"/>
  <c r="R19" i="4" s="1"/>
  <c r="Q14" i="4"/>
  <c r="Q22" i="4"/>
  <c r="L24" i="6" l="1"/>
  <c r="L27" i="6" s="1"/>
  <c r="M24" i="6" s="1"/>
  <c r="M38" i="6"/>
  <c r="M42" i="6" s="1"/>
  <c r="M67" i="5"/>
  <c r="N69" i="5"/>
  <c r="N57" i="5"/>
  <c r="Q27" i="4"/>
  <c r="O44" i="5" s="1"/>
  <c r="O68" i="5" s="1"/>
  <c r="P36" i="4"/>
  <c r="N43" i="5" s="1"/>
  <c r="N55" i="5" s="1"/>
  <c r="R34" i="4"/>
  <c r="O45" i="5"/>
  <c r="O38" i="4"/>
  <c r="O40" i="4" s="1"/>
  <c r="N40" i="5"/>
  <c r="M54" i="5"/>
  <c r="N52" i="5"/>
  <c r="Q24" i="4"/>
  <c r="S11" i="4"/>
  <c r="S19" i="4" s="1"/>
  <c r="R14" i="4"/>
  <c r="R22" i="4"/>
  <c r="L28" i="6" l="1"/>
  <c r="M27" i="6"/>
  <c r="M28" i="6" s="1"/>
  <c r="N67" i="5"/>
  <c r="P38" i="4"/>
  <c r="P40" i="4" s="1"/>
  <c r="S34" i="4"/>
  <c r="Q45" i="5" s="1"/>
  <c r="P45" i="5"/>
  <c r="R27" i="4"/>
  <c r="P44" i="5" s="1"/>
  <c r="P68" i="5" s="1"/>
  <c r="Q36" i="4"/>
  <c r="O43" i="5" s="1"/>
  <c r="O55" i="5" s="1"/>
  <c r="O57" i="5"/>
  <c r="O69" i="5"/>
  <c r="S22" i="4"/>
  <c r="S14" i="4"/>
  <c r="I6" i="5"/>
  <c r="I20" i="5" s="1"/>
  <c r="R24" i="4"/>
  <c r="O52" i="5"/>
  <c r="N54" i="5"/>
  <c r="O40" i="5"/>
  <c r="N64" i="5"/>
  <c r="N66" i="5" s="1"/>
  <c r="N42" i="5"/>
  <c r="D40" i="6" l="1"/>
  <c r="D43" i="6" s="1"/>
  <c r="D44" i="6" s="1"/>
  <c r="O67" i="5"/>
  <c r="Q38" i="4"/>
  <c r="Q40" i="4" s="1"/>
  <c r="S27" i="4"/>
  <c r="R36" i="4"/>
  <c r="P43" i="5" s="1"/>
  <c r="P55" i="5" s="1"/>
  <c r="P57" i="5"/>
  <c r="P69" i="5"/>
  <c r="Q69" i="5"/>
  <c r="Q57" i="5"/>
  <c r="P40" i="5"/>
  <c r="P52" i="5"/>
  <c r="O54" i="5"/>
  <c r="S24" i="4"/>
  <c r="O42" i="5"/>
  <c r="O64" i="5"/>
  <c r="O66" i="5" s="1"/>
  <c r="E40" i="6" l="1"/>
  <c r="E43" i="6" s="1"/>
  <c r="F40" i="6" s="1"/>
  <c r="S36" i="4"/>
  <c r="I9" i="5" s="1"/>
  <c r="I30" i="5" s="1"/>
  <c r="Q44" i="5"/>
  <c r="Q68" i="5" s="1"/>
  <c r="P67" i="5"/>
  <c r="R38" i="4"/>
  <c r="R40" i="4" s="1"/>
  <c r="I7" i="5"/>
  <c r="Q40" i="5"/>
  <c r="P54" i="5"/>
  <c r="Q52" i="5"/>
  <c r="Q54" i="5" s="1"/>
  <c r="P42" i="5"/>
  <c r="P64" i="5"/>
  <c r="P66" i="5" s="1"/>
  <c r="E44" i="6" l="1"/>
  <c r="F43" i="6"/>
  <c r="F44" i="6" s="1"/>
  <c r="S38" i="4"/>
  <c r="Q43" i="5"/>
  <c r="Q55" i="5" s="1"/>
  <c r="Q67" i="5"/>
  <c r="Q42" i="5"/>
  <c r="Q64" i="5"/>
  <c r="Q66" i="5" s="1"/>
  <c r="N35" i="24" l="1"/>
  <c r="F8" i="11"/>
  <c r="F10" i="11" s="1"/>
  <c r="G40" i="6"/>
  <c r="G43" i="6" s="1"/>
  <c r="G44" i="6" s="1"/>
  <c r="S40" i="4"/>
  <c r="N47" i="24" s="1"/>
  <c r="T8" i="11"/>
  <c r="T10" i="11" s="1"/>
  <c r="T11" i="11" s="1"/>
  <c r="N49" i="24" l="1"/>
  <c r="N50" i="24" s="1"/>
  <c r="M119" i="1"/>
  <c r="M121" i="1" s="1"/>
  <c r="M122" i="1" s="1"/>
  <c r="N37" i="24"/>
  <c r="M107" i="1"/>
  <c r="F13" i="11"/>
  <c r="J8" i="11"/>
  <c r="J10" i="11" s="1"/>
  <c r="H40" i="6"/>
  <c r="I10" i="5"/>
  <c r="N38" i="24" l="1"/>
  <c r="M109" i="1"/>
  <c r="H43" i="6"/>
  <c r="I40" i="6" s="1"/>
  <c r="M28" i="1"/>
  <c r="N42" i="24" l="1"/>
  <c r="K89" i="24" s="1"/>
  <c r="K90" i="24" s="1"/>
  <c r="J160" i="1" s="1"/>
  <c r="M110" i="1"/>
  <c r="M114" i="1" s="1"/>
  <c r="H44" i="6"/>
  <c r="I43" i="6"/>
  <c r="I44" i="6" s="1"/>
  <c r="G152" i="1" l="1"/>
  <c r="G153" i="1"/>
  <c r="G80" i="24"/>
  <c r="G81" i="24"/>
  <c r="F12" i="24"/>
  <c r="AE2" i="28" s="1"/>
  <c r="B2" i="7"/>
  <c r="K97" i="24"/>
  <c r="J40" i="6"/>
  <c r="J43" i="6" s="1"/>
  <c r="J44" i="6" s="1"/>
  <c r="J165" i="1" l="1"/>
  <c r="L89" i="24"/>
  <c r="B7" i="7"/>
  <c r="B9" i="7" s="1"/>
  <c r="E15" i="7" s="1"/>
  <c r="B11" i="7"/>
  <c r="D15" i="7"/>
  <c r="E31" i="25"/>
  <c r="B12" i="24"/>
  <c r="G16" i="1"/>
  <c r="H16" i="1" s="1"/>
  <c r="G12" i="24"/>
  <c r="J11" i="11" s="1"/>
  <c r="H110" i="24"/>
  <c r="K40" i="6"/>
  <c r="L90" i="24" l="1"/>
  <c r="B110" i="24"/>
  <c r="B16" i="1"/>
  <c r="B31" i="25"/>
  <c r="AM31" i="25"/>
  <c r="AN31" i="25" s="1"/>
  <c r="G15" i="7"/>
  <c r="F15" i="7" s="1"/>
  <c r="H15" i="7" s="1"/>
  <c r="P10" i="11"/>
  <c r="P11" i="11" s="1"/>
  <c r="J13" i="11"/>
  <c r="J14" i="11" s="1"/>
  <c r="F29" i="11" s="1"/>
  <c r="F26" i="11" s="1"/>
  <c r="K43" i="6"/>
  <c r="L40" i="6" s="1"/>
  <c r="G50" i="24" l="1"/>
  <c r="G56" i="24" s="1"/>
  <c r="K160" i="1"/>
  <c r="G122" i="1" s="1"/>
  <c r="G128" i="1" s="1"/>
  <c r="L97" i="24"/>
  <c r="L2" i="7"/>
  <c r="L7" i="7" s="1"/>
  <c r="L9" i="7" s="1"/>
  <c r="O15" i="7" s="1"/>
  <c r="F13" i="24"/>
  <c r="F31" i="25"/>
  <c r="P14" i="11"/>
  <c r="I15" i="7"/>
  <c r="D16" i="7" s="1"/>
  <c r="E16" i="7" s="1"/>
  <c r="T12" i="11"/>
  <c r="T14" i="11" s="1"/>
  <c r="AM32" i="25"/>
  <c r="AN32" i="25" s="1"/>
  <c r="K44" i="6"/>
  <c r="L43" i="6"/>
  <c r="L44" i="6" s="1"/>
  <c r="K165" i="1" l="1"/>
  <c r="M123" i="1" s="1"/>
  <c r="M125" i="1" s="1"/>
  <c r="M128" i="1" s="1"/>
  <c r="H70" i="22"/>
  <c r="N15" i="7"/>
  <c r="Q15" i="7" s="1"/>
  <c r="P15" i="7" s="1"/>
  <c r="N51" i="24"/>
  <c r="N53" i="24" s="1"/>
  <c r="N56" i="24" s="1"/>
  <c r="L11" i="7"/>
  <c r="G60" i="24"/>
  <c r="G132" i="1" s="1"/>
  <c r="G17" i="1"/>
  <c r="H17" i="1" s="1"/>
  <c r="G13" i="24"/>
  <c r="H111" i="24"/>
  <c r="P111" i="24" s="1"/>
  <c r="B13" i="24"/>
  <c r="E32" i="25"/>
  <c r="F32" i="25" s="1"/>
  <c r="G16" i="7"/>
  <c r="F16" i="7" s="1"/>
  <c r="T15" i="11"/>
  <c r="F30" i="11" s="1"/>
  <c r="M40" i="6"/>
  <c r="M43" i="6" s="1"/>
  <c r="M44" i="6" s="1"/>
  <c r="R15" i="7" l="1"/>
  <c r="S15" i="7"/>
  <c r="N16" i="7" s="1"/>
  <c r="Q16" i="7" s="1"/>
  <c r="H16" i="7"/>
  <c r="B32" i="25"/>
  <c r="B17" i="1"/>
  <c r="B111" i="24"/>
  <c r="I16" i="7"/>
  <c r="D17" i="7" s="1"/>
  <c r="E17" i="7" s="1"/>
  <c r="P110" i="24"/>
  <c r="O16" i="7" l="1"/>
  <c r="P16" i="7" s="1"/>
  <c r="R16" i="7" s="1"/>
  <c r="G17" i="7"/>
  <c r="F17" i="7" s="1"/>
  <c r="I17" i="7" s="1"/>
  <c r="D18" i="7" s="1"/>
  <c r="G22" i="25"/>
  <c r="G26" i="25" s="1"/>
  <c r="G57" i="25" s="1"/>
  <c r="G70" i="25" s="1"/>
  <c r="K128" i="24"/>
  <c r="H106" i="24"/>
  <c r="H127" i="24" s="1"/>
  <c r="F8" i="24"/>
  <c r="S16" i="7" l="1"/>
  <c r="N17" i="7" s="1"/>
  <c r="O17" i="7" s="1"/>
  <c r="H17" i="7"/>
  <c r="G58" i="25"/>
  <c r="G60" i="25" s="1"/>
  <c r="G18" i="7"/>
  <c r="E18" i="7"/>
  <c r="J128" i="24"/>
  <c r="P119" i="24"/>
  <c r="Q17" i="7" l="1"/>
  <c r="P17" i="7" s="1"/>
  <c r="R17" i="7" s="1"/>
  <c r="F18" i="7"/>
  <c r="H18" i="7" s="1"/>
  <c r="G61" i="25"/>
  <c r="S17" i="7" l="1"/>
  <c r="N18" i="7" s="1"/>
  <c r="Q18" i="7" s="1"/>
  <c r="G62" i="25"/>
  <c r="H24" i="25" s="1"/>
  <c r="G69" i="25"/>
  <c r="G71" i="25" s="1"/>
  <c r="G73" i="25" s="1"/>
  <c r="G74" i="25" s="1"/>
  <c r="G75" i="25" s="1"/>
  <c r="H68" i="25" s="1"/>
  <c r="I18" i="7"/>
  <c r="D19" i="7" s="1"/>
  <c r="G19" i="7" s="1"/>
  <c r="H55" i="25"/>
  <c r="O18" i="7" l="1"/>
  <c r="P18" i="7" s="1"/>
  <c r="H56" i="25"/>
  <c r="E19" i="7"/>
  <c r="F19" i="7" s="1"/>
  <c r="H19" i="7" s="1"/>
  <c r="H25" i="25"/>
  <c r="H26" i="25" s="1"/>
  <c r="H57" i="25" s="1"/>
  <c r="I19" i="7" l="1"/>
  <c r="D20" i="7" s="1"/>
  <c r="S18" i="7"/>
  <c r="N19" i="7" s="1"/>
  <c r="R18" i="7"/>
  <c r="H70" i="25"/>
  <c r="H58" i="25"/>
  <c r="H60" i="25" s="1"/>
  <c r="H61" i="25" s="1"/>
  <c r="E20" i="7" l="1"/>
  <c r="G20" i="7"/>
  <c r="O19" i="7"/>
  <c r="Q19" i="7"/>
  <c r="P19" i="7" l="1"/>
  <c r="R19" i="7" s="1"/>
  <c r="F20" i="7"/>
  <c r="H69" i="25"/>
  <c r="H71" i="25" s="1"/>
  <c r="H73" i="25" s="1"/>
  <c r="H62" i="25"/>
  <c r="I55" i="25" s="1"/>
  <c r="S19" i="7" l="1"/>
  <c r="N20" i="7" s="1"/>
  <c r="O20" i="7" s="1"/>
  <c r="I20" i="7"/>
  <c r="D21" i="7" s="1"/>
  <c r="H20" i="7"/>
  <c r="I24" i="25"/>
  <c r="H74" i="25"/>
  <c r="H75" i="25" s="1"/>
  <c r="I68" i="25" s="1"/>
  <c r="I56" i="25"/>
  <c r="Q20" i="7" l="1"/>
  <c r="P20" i="7" s="1"/>
  <c r="R20" i="7" s="1"/>
  <c r="E21" i="7"/>
  <c r="G21" i="7"/>
  <c r="I25" i="25"/>
  <c r="I26" i="25" s="1"/>
  <c r="I57" i="25" s="1"/>
  <c r="I70" i="25" s="1"/>
  <c r="S20" i="7" l="1"/>
  <c r="N21" i="7" s="1"/>
  <c r="F21" i="7"/>
  <c r="I58" i="25"/>
  <c r="I60" i="25" s="1"/>
  <c r="I61" i="25" s="1"/>
  <c r="Q21" i="7" l="1"/>
  <c r="O21" i="7"/>
  <c r="H21" i="7"/>
  <c r="I21" i="7"/>
  <c r="D22" i="7" s="1"/>
  <c r="I69" i="25"/>
  <c r="I71" i="25" s="1"/>
  <c r="I73" i="25" s="1"/>
  <c r="I62" i="25"/>
  <c r="J55" i="25" s="1"/>
  <c r="P21" i="7" l="1"/>
  <c r="R21" i="7" s="1"/>
  <c r="E22" i="7"/>
  <c r="G22" i="7"/>
  <c r="I74" i="25"/>
  <c r="I75" i="25" s="1"/>
  <c r="J68" i="25" s="1"/>
  <c r="J56" i="25"/>
  <c r="J24" i="25"/>
  <c r="S21" i="7" l="1"/>
  <c r="N22" i="7" s="1"/>
  <c r="O22" i="7" s="1"/>
  <c r="F22" i="7"/>
  <c r="J25" i="25"/>
  <c r="J26" i="25" s="1"/>
  <c r="J57" i="25" s="1"/>
  <c r="J70" i="25" s="1"/>
  <c r="Q22" i="7" l="1"/>
  <c r="P22" i="7" s="1"/>
  <c r="H22" i="7"/>
  <c r="I22" i="7"/>
  <c r="D23" i="7" s="1"/>
  <c r="J58" i="25"/>
  <c r="J60" i="25" s="1"/>
  <c r="J61" i="25" s="1"/>
  <c r="R22" i="7" l="1"/>
  <c r="S22" i="7"/>
  <c r="N23" i="7" s="1"/>
  <c r="G23" i="7"/>
  <c r="E23" i="7"/>
  <c r="J62" i="25"/>
  <c r="F23" i="7" l="1"/>
  <c r="H23" i="7" s="1"/>
  <c r="Q23" i="7"/>
  <c r="O23" i="7"/>
  <c r="K55" i="25"/>
  <c r="K24" i="25"/>
  <c r="J69" i="25"/>
  <c r="J71" i="25" s="1"/>
  <c r="J73" i="25" s="1"/>
  <c r="K56" i="25" s="1"/>
  <c r="I23" i="7" l="1"/>
  <c r="D24" i="7" s="1"/>
  <c r="E24" i="7" s="1"/>
  <c r="P23" i="7"/>
  <c r="S23" i="7" s="1"/>
  <c r="N24" i="7" s="1"/>
  <c r="J74" i="25"/>
  <c r="J75" i="25" s="1"/>
  <c r="K25" i="25" s="1"/>
  <c r="K26" i="25" s="1"/>
  <c r="K57" i="25" s="1"/>
  <c r="G24" i="7" l="1"/>
  <c r="F24" i="7" s="1"/>
  <c r="H24" i="7" s="1"/>
  <c r="R23" i="7"/>
  <c r="Q24" i="7"/>
  <c r="O24" i="7"/>
  <c r="K70" i="25"/>
  <c r="K58" i="25"/>
  <c r="K60" i="25" s="1"/>
  <c r="K61" i="25" s="1"/>
  <c r="K68" i="25"/>
  <c r="P24" i="7" l="1"/>
  <c r="R24" i="7" s="1"/>
  <c r="I24" i="7"/>
  <c r="D25" i="7" s="1"/>
  <c r="E25" i="7" s="1"/>
  <c r="K69" i="25"/>
  <c r="K71" i="25" s="1"/>
  <c r="K73" i="25" s="1"/>
  <c r="K62" i="25"/>
  <c r="L55" i="25" s="1"/>
  <c r="S24" i="7" l="1"/>
  <c r="N25" i="7" s="1"/>
  <c r="Q25" i="7" s="1"/>
  <c r="G25" i="7"/>
  <c r="F25" i="7" s="1"/>
  <c r="H25" i="7" s="1"/>
  <c r="K74" i="25"/>
  <c r="K75" i="25" s="1"/>
  <c r="L25" i="25" s="1"/>
  <c r="L56" i="25"/>
  <c r="L24" i="25"/>
  <c r="O25" i="7" l="1"/>
  <c r="P25" i="7" s="1"/>
  <c r="R25" i="7" s="1"/>
  <c r="I25" i="7"/>
  <c r="D26" i="7" s="1"/>
  <c r="G26" i="7" s="1"/>
  <c r="L68" i="25"/>
  <c r="L26" i="25"/>
  <c r="L57" i="25" s="1"/>
  <c r="S25" i="7" l="1"/>
  <c r="N26" i="7" s="1"/>
  <c r="Q26" i="7" s="1"/>
  <c r="E26" i="7"/>
  <c r="F26" i="7" s="1"/>
  <c r="H26" i="7" s="1"/>
  <c r="L70" i="25"/>
  <c r="L58" i="25"/>
  <c r="L60" i="25" s="1"/>
  <c r="L61" i="25" s="1"/>
  <c r="O26" i="7" l="1"/>
  <c r="P26" i="7" s="1"/>
  <c r="I26" i="7"/>
  <c r="D27" i="7" s="1"/>
  <c r="G27" i="7" s="1"/>
  <c r="R26" i="7" l="1"/>
  <c r="S26" i="7"/>
  <c r="N27" i="7" s="1"/>
  <c r="E27" i="7"/>
  <c r="F27" i="7" s="1"/>
  <c r="H27" i="7" s="1"/>
  <c r="L69" i="25"/>
  <c r="L71" i="25" s="1"/>
  <c r="L73" i="25" s="1"/>
  <c r="M56" i="25" s="1"/>
  <c r="L62" i="25"/>
  <c r="M55" i="25" s="1"/>
  <c r="Q27" i="7" l="1"/>
  <c r="O27" i="7"/>
  <c r="I27" i="7"/>
  <c r="D28" i="7" s="1"/>
  <c r="E28" i="7" s="1"/>
  <c r="M24" i="25"/>
  <c r="L74" i="25"/>
  <c r="L75" i="25" s="1"/>
  <c r="M25" i="25" s="1"/>
  <c r="P27" i="7" l="1"/>
  <c r="S27" i="7" s="1"/>
  <c r="N28" i="7" s="1"/>
  <c r="G28" i="7"/>
  <c r="F28" i="7" s="1"/>
  <c r="H28" i="7" s="1"/>
  <c r="M26" i="25"/>
  <c r="M57" i="25" s="1"/>
  <c r="M70" i="25" s="1"/>
  <c r="M68" i="25"/>
  <c r="R27" i="7" l="1"/>
  <c r="Q28" i="7"/>
  <c r="O28" i="7"/>
  <c r="I28" i="7"/>
  <c r="D29" i="7" s="1"/>
  <c r="E29" i="7" s="1"/>
  <c r="M58" i="25"/>
  <c r="M60" i="25" s="1"/>
  <c r="M61" i="25" s="1"/>
  <c r="P28" i="7" l="1"/>
  <c r="R28" i="7" s="1"/>
  <c r="G29" i="7"/>
  <c r="F29" i="7" s="1"/>
  <c r="M69" i="25"/>
  <c r="M71" i="25" s="1"/>
  <c r="M62" i="25"/>
  <c r="N24" i="25" s="1"/>
  <c r="S28" i="7" l="1"/>
  <c r="N29" i="7" s="1"/>
  <c r="O29" i="7" s="1"/>
  <c r="H29" i="7"/>
  <c r="I29" i="7"/>
  <c r="D30" i="7" s="1"/>
  <c r="N55" i="25"/>
  <c r="M73" i="25"/>
  <c r="N56" i="25" s="1"/>
  <c r="Q29" i="7" l="1"/>
  <c r="P29" i="7" s="1"/>
  <c r="G30" i="7"/>
  <c r="E30" i="7"/>
  <c r="M74" i="25"/>
  <c r="M75" i="25" s="1"/>
  <c r="N25" i="25" s="1"/>
  <c r="N26" i="25" s="1"/>
  <c r="N57" i="25" s="1"/>
  <c r="N70" i="25" s="1"/>
  <c r="F30" i="7" l="1"/>
  <c r="H30" i="7" s="1"/>
  <c r="R29" i="7"/>
  <c r="S29" i="7"/>
  <c r="N30" i="7" s="1"/>
  <c r="N68" i="25"/>
  <c r="N58" i="25"/>
  <c r="N60" i="25" s="1"/>
  <c r="N61" i="25" s="1"/>
  <c r="N62" i="25" s="1"/>
  <c r="I30" i="7" l="1"/>
  <c r="D31" i="7" s="1"/>
  <c r="G31" i="7" s="1"/>
  <c r="O30" i="7"/>
  <c r="Q30" i="7"/>
  <c r="N69" i="25"/>
  <c r="N71" i="25" s="1"/>
  <c r="N73" i="25" s="1"/>
  <c r="O24" i="25"/>
  <c r="O55" i="25"/>
  <c r="E31" i="7" l="1"/>
  <c r="F31" i="7" s="1"/>
  <c r="H31" i="7" s="1"/>
  <c r="P30" i="7"/>
  <c r="R30" i="7" s="1"/>
  <c r="N74" i="25"/>
  <c r="N75" i="25" s="1"/>
  <c r="O68" i="25" s="1"/>
  <c r="O56" i="25"/>
  <c r="I31" i="7" l="1"/>
  <c r="D32" i="7" s="1"/>
  <c r="E32" i="7" s="1"/>
  <c r="S30" i="7"/>
  <c r="N31" i="7" s="1"/>
  <c r="O31" i="7" s="1"/>
  <c r="O25" i="25"/>
  <c r="O26" i="25" s="1"/>
  <c r="O57" i="25" s="1"/>
  <c r="O70" i="25" s="1"/>
  <c r="G32" i="7" l="1"/>
  <c r="F32" i="7" s="1"/>
  <c r="H32" i="7" s="1"/>
  <c r="Q31" i="7"/>
  <c r="P31" i="7" s="1"/>
  <c r="R31" i="7" s="1"/>
  <c r="O58" i="25"/>
  <c r="O60" i="25" s="1"/>
  <c r="O61" i="25" s="1"/>
  <c r="O62" i="25" s="1"/>
  <c r="I32" i="7" l="1"/>
  <c r="D33" i="7" s="1"/>
  <c r="E33" i="7" s="1"/>
  <c r="S31" i="7"/>
  <c r="N32" i="7" s="1"/>
  <c r="O32" i="7" s="1"/>
  <c r="O69" i="25"/>
  <c r="O71" i="25" s="1"/>
  <c r="O73" i="25" s="1"/>
  <c r="P56" i="25" s="1"/>
  <c r="G33" i="7" l="1"/>
  <c r="F33" i="7" s="1"/>
  <c r="I33" i="7" s="1"/>
  <c r="D34" i="7" s="1"/>
  <c r="G34" i="7" s="1"/>
  <c r="Q32" i="7"/>
  <c r="P32" i="7" s="1"/>
  <c r="O74" i="25"/>
  <c r="O75" i="25" s="1"/>
  <c r="P68" i="25" s="1"/>
  <c r="P55" i="25"/>
  <c r="P24" i="25"/>
  <c r="H33" i="7" l="1"/>
  <c r="R32" i="7"/>
  <c r="S32" i="7"/>
  <c r="N33" i="7" s="1"/>
  <c r="O33" i="7" s="1"/>
  <c r="E34" i="7"/>
  <c r="F34" i="7" s="1"/>
  <c r="I34" i="7" s="1"/>
  <c r="D35" i="7" s="1"/>
  <c r="P25" i="25"/>
  <c r="P26" i="25" s="1"/>
  <c r="P57" i="25" s="1"/>
  <c r="Q33" i="7" l="1"/>
  <c r="P33" i="7" s="1"/>
  <c r="H34" i="7"/>
  <c r="G35" i="7"/>
  <c r="E35" i="7"/>
  <c r="P70" i="25"/>
  <c r="P58" i="25"/>
  <c r="P60" i="25" s="1"/>
  <c r="P61" i="25" s="1"/>
  <c r="R33" i="7" l="1"/>
  <c r="S33" i="7"/>
  <c r="N34" i="7" s="1"/>
  <c r="F35" i="7"/>
  <c r="H35" i="7" s="1"/>
  <c r="P62" i="25"/>
  <c r="O34" i="7" l="1"/>
  <c r="Q34" i="7"/>
  <c r="I35" i="7"/>
  <c r="D36" i="7" s="1"/>
  <c r="E36" i="7" s="1"/>
  <c r="P69" i="25"/>
  <c r="P71" i="25" s="1"/>
  <c r="P34" i="7" l="1"/>
  <c r="R34" i="7" s="1"/>
  <c r="G36" i="7"/>
  <c r="F36" i="7" s="1"/>
  <c r="H36" i="7" s="1"/>
  <c r="P73" i="25"/>
  <c r="Q56" i="25" s="1"/>
  <c r="Q55" i="25"/>
  <c r="Q24" i="25"/>
  <c r="S34" i="7" l="1"/>
  <c r="N35" i="7" s="1"/>
  <c r="O35" i="7" s="1"/>
  <c r="I36" i="7"/>
  <c r="D37" i="7" s="1"/>
  <c r="G37" i="7" s="1"/>
  <c r="P74" i="25"/>
  <c r="P75" i="25" s="1"/>
  <c r="Q68" i="25" s="1"/>
  <c r="Q35" i="7" l="1"/>
  <c r="P35" i="7" s="1"/>
  <c r="E37" i="7"/>
  <c r="F37" i="7" s="1"/>
  <c r="H37" i="7" s="1"/>
  <c r="Q25" i="25"/>
  <c r="Q26" i="25" s="1"/>
  <c r="Q57" i="25" s="1"/>
  <c r="R35" i="7" l="1"/>
  <c r="S35" i="7"/>
  <c r="N36" i="7" s="1"/>
  <c r="I37" i="7"/>
  <c r="D38" i="7" s="1"/>
  <c r="E38" i="7" s="1"/>
  <c r="Q70" i="25"/>
  <c r="Q58" i="25"/>
  <c r="Q60" i="25" s="1"/>
  <c r="Q61" i="25" s="1"/>
  <c r="Q36" i="7" l="1"/>
  <c r="O36" i="7"/>
  <c r="G38" i="7"/>
  <c r="F38" i="7" s="1"/>
  <c r="I38" i="7" s="1"/>
  <c r="D39" i="7" s="1"/>
  <c r="G39" i="7" s="1"/>
  <c r="P36" i="7" l="1"/>
  <c r="R36" i="7" s="1"/>
  <c r="H38" i="7"/>
  <c r="E39" i="7"/>
  <c r="F39" i="7" s="1"/>
  <c r="H39" i="7" s="1"/>
  <c r="Q62" i="25"/>
  <c r="Q69" i="25"/>
  <c r="Q71" i="25" s="1"/>
  <c r="S36" i="7" l="1"/>
  <c r="N37" i="7" s="1"/>
  <c r="Q37" i="7" s="1"/>
  <c r="I39" i="7"/>
  <c r="D40" i="7" s="1"/>
  <c r="E40" i="7" s="1"/>
  <c r="Q73" i="25"/>
  <c r="R55" i="25"/>
  <c r="R24" i="25"/>
  <c r="O37" i="7" l="1"/>
  <c r="P37" i="7" s="1"/>
  <c r="R37" i="7" s="1"/>
  <c r="G40" i="7"/>
  <c r="F40" i="7" s="1"/>
  <c r="I40" i="7" s="1"/>
  <c r="D41" i="7" s="1"/>
  <c r="Q74" i="25"/>
  <c r="Q75" i="25" s="1"/>
  <c r="R25" i="25" s="1"/>
  <c r="R26" i="25" s="1"/>
  <c r="R57" i="25" s="1"/>
  <c r="R56" i="25"/>
  <c r="S37" i="7" l="1"/>
  <c r="N38" i="7" s="1"/>
  <c r="O38" i="7" s="1"/>
  <c r="H40" i="7"/>
  <c r="G41" i="7"/>
  <c r="E41" i="7"/>
  <c r="R68" i="25"/>
  <c r="R70" i="25"/>
  <c r="R58" i="25"/>
  <c r="R60" i="25" s="1"/>
  <c r="R61" i="25" s="1"/>
  <c r="Q38" i="7" l="1"/>
  <c r="P38" i="7" s="1"/>
  <c r="R38" i="7" s="1"/>
  <c r="F41" i="7"/>
  <c r="H41" i="7" s="1"/>
  <c r="S38" i="7" l="1"/>
  <c r="N39" i="7" s="1"/>
  <c r="O39" i="7" s="1"/>
  <c r="I41" i="7"/>
  <c r="D42" i="7" s="1"/>
  <c r="E42" i="7" s="1"/>
  <c r="R62" i="25"/>
  <c r="R69" i="25"/>
  <c r="R71" i="25" s="1"/>
  <c r="R73" i="25" s="1"/>
  <c r="Q39" i="7" l="1"/>
  <c r="P39" i="7" s="1"/>
  <c r="R39" i="7" s="1"/>
  <c r="G42" i="7"/>
  <c r="F42" i="7" s="1"/>
  <c r="H42" i="7" s="1"/>
  <c r="R74" i="25"/>
  <c r="R75" i="25" s="1"/>
  <c r="S68" i="25" s="1"/>
  <c r="S56" i="25"/>
  <c r="S24" i="25"/>
  <c r="S55" i="25"/>
  <c r="S39" i="7" l="1"/>
  <c r="N40" i="7" s="1"/>
  <c r="O40" i="7" s="1"/>
  <c r="I42" i="7"/>
  <c r="D43" i="7" s="1"/>
  <c r="E43" i="7" s="1"/>
  <c r="S25" i="25"/>
  <c r="S26" i="25" s="1"/>
  <c r="S57" i="25" s="1"/>
  <c r="Q40" i="7" l="1"/>
  <c r="P40" i="7" s="1"/>
  <c r="R40" i="7" s="1"/>
  <c r="G43" i="7"/>
  <c r="F43" i="7" s="1"/>
  <c r="H43" i="7" s="1"/>
  <c r="S70" i="25"/>
  <c r="S58" i="25"/>
  <c r="S60" i="25" s="1"/>
  <c r="S61" i="25" s="1"/>
  <c r="I43" i="7" l="1"/>
  <c r="D44" i="7" s="1"/>
  <c r="G44" i="7" s="1"/>
  <c r="S40" i="7"/>
  <c r="N41" i="7" s="1"/>
  <c r="Q41" i="7" s="1"/>
  <c r="E44" i="7" l="1"/>
  <c r="F44" i="7" s="1"/>
  <c r="H44" i="7" s="1"/>
  <c r="O41" i="7"/>
  <c r="P41" i="7" s="1"/>
  <c r="R41" i="7" s="1"/>
  <c r="S62" i="25"/>
  <c r="S69" i="25"/>
  <c r="S71" i="25" s="1"/>
  <c r="S73" i="25" s="1"/>
  <c r="I44" i="7" l="1"/>
  <c r="D45" i="7" s="1"/>
  <c r="G45" i="7" s="1"/>
  <c r="S74" i="25"/>
  <c r="S75" i="25" s="1"/>
  <c r="T25" i="25" s="1"/>
  <c r="T56" i="25"/>
  <c r="T24" i="25"/>
  <c r="T55" i="25"/>
  <c r="S41" i="7"/>
  <c r="N42" i="7" s="1"/>
  <c r="Q42" i="7" s="1"/>
  <c r="E45" i="7" l="1"/>
  <c r="F45" i="7" s="1"/>
  <c r="H45" i="7" s="1"/>
  <c r="T68" i="25"/>
  <c r="T26" i="25"/>
  <c r="T57" i="25" s="1"/>
  <c r="T70" i="25" s="1"/>
  <c r="O42" i="7"/>
  <c r="P42" i="7" s="1"/>
  <c r="R42" i="7" s="1"/>
  <c r="I45" i="7" l="1"/>
  <c r="D46" i="7" s="1"/>
  <c r="E46" i="7" s="1"/>
  <c r="T58" i="25"/>
  <c r="T60" i="25" s="1"/>
  <c r="T61" i="25" s="1"/>
  <c r="S42" i="7"/>
  <c r="N43" i="7" s="1"/>
  <c r="Q43" i="7" s="1"/>
  <c r="G46" i="7" l="1"/>
  <c r="F46" i="7" s="1"/>
  <c r="T62" i="25"/>
  <c r="O43" i="7"/>
  <c r="P43" i="7" s="1"/>
  <c r="R43" i="7" s="1"/>
  <c r="I46" i="7" l="1"/>
  <c r="D47" i="7" s="1"/>
  <c r="G47" i="7" s="1"/>
  <c r="H46" i="7"/>
  <c r="T69" i="25"/>
  <c r="T71" i="25" s="1"/>
  <c r="T73" i="25" s="1"/>
  <c r="U24" i="25"/>
  <c r="U55" i="25"/>
  <c r="S43" i="7"/>
  <c r="N44" i="7" s="1"/>
  <c r="O44" i="7" s="1"/>
  <c r="E47" i="7" l="1"/>
  <c r="F47" i="7" s="1"/>
  <c r="H47" i="7" s="1"/>
  <c r="T74" i="25"/>
  <c r="T75" i="25" s="1"/>
  <c r="U25" i="25" s="1"/>
  <c r="U56" i="25"/>
  <c r="Q44" i="7"/>
  <c r="P44" i="7" s="1"/>
  <c r="I47" i="7" l="1"/>
  <c r="D48" i="7" s="1"/>
  <c r="E48" i="7" s="1"/>
  <c r="U68" i="25"/>
  <c r="R44" i="7"/>
  <c r="S44" i="7"/>
  <c r="N45" i="7" s="1"/>
  <c r="Q45" i="7" s="1"/>
  <c r="G48" i="7" l="1"/>
  <c r="F48" i="7" s="1"/>
  <c r="O45" i="7"/>
  <c r="P45" i="7" s="1"/>
  <c r="H48" i="7" l="1"/>
  <c r="I48" i="7"/>
  <c r="D49" i="7" s="1"/>
  <c r="R45" i="7"/>
  <c r="S45" i="7"/>
  <c r="N46" i="7" s="1"/>
  <c r="Q46" i="7" s="1"/>
  <c r="E49" i="7" l="1"/>
  <c r="G49" i="7"/>
  <c r="O46" i="7"/>
  <c r="P46" i="7" s="1"/>
  <c r="R46" i="7" s="1"/>
  <c r="F49" i="7" l="1"/>
  <c r="H49" i="7" s="1"/>
  <c r="S46" i="7"/>
  <c r="N47" i="7" s="1"/>
  <c r="O47" i="7" s="1"/>
  <c r="I49" i="7" l="1"/>
  <c r="D50" i="7" s="1"/>
  <c r="G50" i="7" s="1"/>
  <c r="Q47" i="7"/>
  <c r="P47" i="7" s="1"/>
  <c r="R47" i="7" s="1"/>
  <c r="E50" i="7" l="1"/>
  <c r="F50" i="7" s="1"/>
  <c r="S47" i="7"/>
  <c r="N48" i="7" s="1"/>
  <c r="O48" i="7" s="1"/>
  <c r="H50" i="7" l="1"/>
  <c r="I50" i="7"/>
  <c r="D51" i="7" s="1"/>
  <c r="G51" i="7" s="1"/>
  <c r="Q48" i="7"/>
  <c r="P48" i="7" s="1"/>
  <c r="R48" i="7" s="1"/>
  <c r="E51" i="7" l="1"/>
  <c r="F51" i="7" s="1"/>
  <c r="H51" i="7" s="1"/>
  <c r="S48" i="7"/>
  <c r="N49" i="7" s="1"/>
  <c r="Q49" i="7" s="1"/>
  <c r="I51" i="7" l="1"/>
  <c r="D52" i="7" s="1"/>
  <c r="G52" i="7" s="1"/>
  <c r="O49" i="7"/>
  <c r="P49" i="7" s="1"/>
  <c r="R49" i="7" s="1"/>
  <c r="E52" i="7" l="1"/>
  <c r="F52" i="7" s="1"/>
  <c r="H52" i="7" s="1"/>
  <c r="S49" i="7"/>
  <c r="N50" i="7" s="1"/>
  <c r="O50" i="7" s="1"/>
  <c r="I52" i="7" l="1"/>
  <c r="D53" i="7" s="1"/>
  <c r="E53" i="7" s="1"/>
  <c r="Q50" i="7"/>
  <c r="P50" i="7" s="1"/>
  <c r="R50" i="7" s="1"/>
  <c r="G53" i="7" l="1"/>
  <c r="F53" i="7" s="1"/>
  <c r="S50" i="7"/>
  <c r="N51" i="7" s="1"/>
  <c r="Q51" i="7" s="1"/>
  <c r="H53" i="7" l="1"/>
  <c r="I53" i="7"/>
  <c r="D54" i="7" s="1"/>
  <c r="O51" i="7"/>
  <c r="P51" i="7" s="1"/>
  <c r="R51" i="7" s="1"/>
  <c r="E54" i="7" l="1"/>
  <c r="G54" i="7"/>
  <c r="S51" i="7"/>
  <c r="N52" i="7" s="1"/>
  <c r="O52" i="7" s="1"/>
  <c r="F54" i="7" l="1"/>
  <c r="I54" i="7" s="1"/>
  <c r="D55" i="7" s="1"/>
  <c r="Q52" i="7"/>
  <c r="P52" i="7" s="1"/>
  <c r="R52" i="7" s="1"/>
  <c r="H54" i="7" l="1"/>
  <c r="G55" i="7"/>
  <c r="E55" i="7"/>
  <c r="S52" i="7"/>
  <c r="N53" i="7" s="1"/>
  <c r="F55" i="7" l="1"/>
  <c r="H55" i="7" s="1"/>
  <c r="Q53" i="7"/>
  <c r="O53" i="7"/>
  <c r="I55" i="7" l="1"/>
  <c r="D56" i="7" s="1"/>
  <c r="G56" i="7" s="1"/>
  <c r="P53" i="7"/>
  <c r="R53" i="7" s="1"/>
  <c r="E56" i="7" l="1"/>
  <c r="F56" i="7" s="1"/>
  <c r="H56" i="7" s="1"/>
  <c r="S53" i="7"/>
  <c r="N54" i="7" s="1"/>
  <c r="I56" i="7" l="1"/>
  <c r="D57" i="7" s="1"/>
  <c r="E57" i="7" s="1"/>
  <c r="Q54" i="7"/>
  <c r="O54" i="7"/>
  <c r="G57" i="7" l="1"/>
  <c r="F57" i="7" s="1"/>
  <c r="I57" i="7" s="1"/>
  <c r="D58" i="7" s="1"/>
  <c r="P54" i="7"/>
  <c r="R54" i="7" s="1"/>
  <c r="H57" i="7" l="1"/>
  <c r="E58" i="7"/>
  <c r="G58" i="7"/>
  <c r="S54" i="7"/>
  <c r="N55" i="7" s="1"/>
  <c r="Q55" i="7" s="1"/>
  <c r="F58" i="7" l="1"/>
  <c r="H58" i="7" s="1"/>
  <c r="O55" i="7"/>
  <c r="P55" i="7" s="1"/>
  <c r="R55" i="7" s="1"/>
  <c r="I58" i="7" l="1"/>
  <c r="D59" i="7" s="1"/>
  <c r="G59" i="7" s="1"/>
  <c r="S55" i="7"/>
  <c r="N56" i="7" s="1"/>
  <c r="O56" i="7" s="1"/>
  <c r="E59" i="7" l="1"/>
  <c r="F59" i="7" s="1"/>
  <c r="H59" i="7" s="1"/>
  <c r="Q56" i="7"/>
  <c r="P56" i="7" s="1"/>
  <c r="R56" i="7" s="1"/>
  <c r="I59" i="7" l="1"/>
  <c r="D60" i="7" s="1"/>
  <c r="E60" i="7" s="1"/>
  <c r="S56" i="7"/>
  <c r="N57" i="7" s="1"/>
  <c r="O57" i="7" s="1"/>
  <c r="G60" i="7" l="1"/>
  <c r="F60" i="7" s="1"/>
  <c r="Q57" i="7"/>
  <c r="P57" i="7" s="1"/>
  <c r="R57" i="7" s="1"/>
  <c r="H60" i="7" l="1"/>
  <c r="I60" i="7"/>
  <c r="D61" i="7" s="1"/>
  <c r="S57" i="7"/>
  <c r="N58" i="7" s="1"/>
  <c r="O58" i="7" s="1"/>
  <c r="G61" i="7" l="1"/>
  <c r="E61" i="7"/>
  <c r="Q58" i="7"/>
  <c r="P58" i="7" s="1"/>
  <c r="R58" i="7" s="1"/>
  <c r="F61" i="7" l="1"/>
  <c r="H61" i="7" s="1"/>
  <c r="S58" i="7"/>
  <c r="N59" i="7" s="1"/>
  <c r="O59" i="7" s="1"/>
  <c r="I61" i="7" l="1"/>
  <c r="D62" i="7" s="1"/>
  <c r="G62" i="7" s="1"/>
  <c r="Q59" i="7"/>
  <c r="P59" i="7" s="1"/>
  <c r="R59" i="7" s="1"/>
  <c r="E62" i="7" l="1"/>
  <c r="F62" i="7" s="1"/>
  <c r="H62" i="7" s="1"/>
  <c r="S59" i="7"/>
  <c r="N60" i="7" s="1"/>
  <c r="Q60" i="7" s="1"/>
  <c r="I62" i="7" l="1"/>
  <c r="D63" i="7" s="1"/>
  <c r="G63" i="7" s="1"/>
  <c r="O60" i="7"/>
  <c r="P60" i="7" s="1"/>
  <c r="R60" i="7" s="1"/>
  <c r="E63" i="7" l="1"/>
  <c r="F63" i="7" s="1"/>
  <c r="S60" i="7"/>
  <c r="N61" i="7" s="1"/>
  <c r="Q61" i="7" s="1"/>
  <c r="H63" i="7" l="1"/>
  <c r="I63" i="7"/>
  <c r="D64" i="7" s="1"/>
  <c r="O61" i="7"/>
  <c r="P61" i="7" s="1"/>
  <c r="E64" i="7" l="1"/>
  <c r="G64" i="7"/>
  <c r="R61" i="7"/>
  <c r="S61" i="7"/>
  <c r="N62" i="7" s="1"/>
  <c r="F64" i="7" l="1"/>
  <c r="H64" i="7" s="1"/>
  <c r="Q62" i="7"/>
  <c r="O62" i="7"/>
  <c r="I64" i="7" l="1"/>
  <c r="D65" i="7" s="1"/>
  <c r="E65" i="7" s="1"/>
  <c r="P62" i="7"/>
  <c r="G65" i="7" l="1"/>
  <c r="F65" i="7" s="1"/>
  <c r="I65" i="7" s="1"/>
  <c r="D66" i="7" s="1"/>
  <c r="R62" i="7"/>
  <c r="S62" i="7"/>
  <c r="N63" i="7" s="1"/>
  <c r="H65" i="7" l="1"/>
  <c r="E66" i="7"/>
  <c r="G66" i="7"/>
  <c r="O63" i="7"/>
  <c r="Q63" i="7"/>
  <c r="F66" i="7" l="1"/>
  <c r="H66" i="7" s="1"/>
  <c r="P63" i="7"/>
  <c r="I66" i="7" l="1"/>
  <c r="D67" i="7" s="1"/>
  <c r="G67" i="7" s="1"/>
  <c r="R63" i="7"/>
  <c r="S63" i="7"/>
  <c r="N64" i="7" s="1"/>
  <c r="E67" i="7" l="1"/>
  <c r="F67" i="7" s="1"/>
  <c r="H67" i="7" s="1"/>
  <c r="Q64" i="7"/>
  <c r="O64" i="7"/>
  <c r="I67" i="7" l="1"/>
  <c r="D68" i="7" s="1"/>
  <c r="E68" i="7" s="1"/>
  <c r="P64" i="7"/>
  <c r="G68" i="7" l="1"/>
  <c r="F68" i="7" s="1"/>
  <c r="H68" i="7" s="1"/>
  <c r="R64" i="7"/>
  <c r="S64" i="7"/>
  <c r="N65" i="7" s="1"/>
  <c r="I68" i="7" l="1"/>
  <c r="D69" i="7" s="1"/>
  <c r="E69" i="7" s="1"/>
  <c r="Q65" i="7"/>
  <c r="O65" i="7"/>
  <c r="G69" i="7" l="1"/>
  <c r="F69" i="7" s="1"/>
  <c r="P65" i="7"/>
  <c r="H69" i="7" l="1"/>
  <c r="I69" i="7"/>
  <c r="D70" i="7" s="1"/>
  <c r="E70" i="7" s="1"/>
  <c r="R65" i="7"/>
  <c r="S65" i="7"/>
  <c r="N66" i="7" s="1"/>
  <c r="G70" i="7" l="1"/>
  <c r="F70" i="7" s="1"/>
  <c r="H70" i="7" s="1"/>
  <c r="O66" i="7"/>
  <c r="Q66" i="7"/>
  <c r="I70" i="7" l="1"/>
  <c r="D71" i="7" s="1"/>
  <c r="E71" i="7" s="1"/>
  <c r="P66" i="7"/>
  <c r="G71" i="7" l="1"/>
  <c r="F71" i="7" s="1"/>
  <c r="I71" i="7" s="1"/>
  <c r="D72" i="7" s="1"/>
  <c r="R66" i="7"/>
  <c r="S66" i="7"/>
  <c r="N67" i="7" s="1"/>
  <c r="H71" i="7" l="1"/>
  <c r="G72" i="7"/>
  <c r="E72" i="7"/>
  <c r="Q67" i="7"/>
  <c r="O67" i="7"/>
  <c r="F72" i="7" l="1"/>
  <c r="H72" i="7" s="1"/>
  <c r="P67" i="7"/>
  <c r="R67" i="7" s="1"/>
  <c r="I72" i="7" l="1"/>
  <c r="D73" i="7" s="1"/>
  <c r="G73" i="7" s="1"/>
  <c r="S67" i="7"/>
  <c r="N68" i="7" s="1"/>
  <c r="E73" i="7" l="1"/>
  <c r="F73" i="7" s="1"/>
  <c r="H73" i="7" s="1"/>
  <c r="O68" i="7"/>
  <c r="Q68" i="7"/>
  <c r="I73" i="7" l="1"/>
  <c r="D74" i="7" s="1"/>
  <c r="P68" i="7"/>
  <c r="R68" i="7" s="1"/>
  <c r="E74" i="7" l="1"/>
  <c r="G74" i="7"/>
  <c r="S68" i="7"/>
  <c r="N69" i="7" s="1"/>
  <c r="O69" i="7" s="1"/>
  <c r="F74" i="7" l="1"/>
  <c r="I74" i="7" s="1"/>
  <c r="D75" i="7" s="1"/>
  <c r="Q69" i="7"/>
  <c r="P69" i="7" s="1"/>
  <c r="R69" i="7" s="1"/>
  <c r="H74" i="7" l="1"/>
  <c r="E75" i="7"/>
  <c r="G75" i="7"/>
  <c r="S69" i="7"/>
  <c r="N70" i="7" s="1"/>
  <c r="O70" i="7" s="1"/>
  <c r="F75" i="7" l="1"/>
  <c r="Q70" i="7"/>
  <c r="P70" i="7" s="1"/>
  <c r="H75" i="7" l="1"/>
  <c r="I75" i="7"/>
  <c r="D76" i="7" s="1"/>
  <c r="R70" i="7"/>
  <c r="S70" i="7"/>
  <c r="N71" i="7" s="1"/>
  <c r="E76" i="7" l="1"/>
  <c r="G76" i="7"/>
  <c r="O71" i="7"/>
  <c r="Q71" i="7"/>
  <c r="F76" i="7" l="1"/>
  <c r="H76" i="7" s="1"/>
  <c r="P71" i="7"/>
  <c r="I76" i="7" l="1"/>
  <c r="D77" i="7" s="1"/>
  <c r="E77" i="7" s="1"/>
  <c r="R71" i="7"/>
  <c r="S71" i="7"/>
  <c r="N72" i="7" s="1"/>
  <c r="G77" i="7" l="1"/>
  <c r="F77" i="7" s="1"/>
  <c r="O72" i="7"/>
  <c r="Q72" i="7"/>
  <c r="H77" i="7" l="1"/>
  <c r="I77" i="7"/>
  <c r="D78" i="7" s="1"/>
  <c r="P72" i="7"/>
  <c r="E78" i="7" l="1"/>
  <c r="G78" i="7"/>
  <c r="R72" i="7"/>
  <c r="S72" i="7"/>
  <c r="N73" i="7" s="1"/>
  <c r="F78" i="7" l="1"/>
  <c r="H78" i="7" s="1"/>
  <c r="Q73" i="7"/>
  <c r="O73" i="7"/>
  <c r="I78" i="7" l="1"/>
  <c r="D79" i="7" s="1"/>
  <c r="G79" i="7" s="1"/>
  <c r="P73" i="7"/>
  <c r="R73" i="7" s="1"/>
  <c r="E79" i="7" l="1"/>
  <c r="F79" i="7" s="1"/>
  <c r="I79" i="7" s="1"/>
  <c r="D80" i="7" s="1"/>
  <c r="S73" i="7"/>
  <c r="N74" i="7" s="1"/>
  <c r="O74" i="7" s="1"/>
  <c r="H79" i="7" l="1"/>
  <c r="E80" i="7"/>
  <c r="G80" i="7"/>
  <c r="Q74" i="7"/>
  <c r="P74" i="7" s="1"/>
  <c r="F80" i="7" l="1"/>
  <c r="H80" i="7" s="1"/>
  <c r="R74" i="7"/>
  <c r="S74" i="7"/>
  <c r="N75" i="7" s="1"/>
  <c r="I80" i="7" l="1"/>
  <c r="D81" i="7" s="1"/>
  <c r="E81" i="7" s="1"/>
  <c r="Q75" i="7"/>
  <c r="O75" i="7"/>
  <c r="G81" i="7" l="1"/>
  <c r="F81" i="7" s="1"/>
  <c r="P75" i="7"/>
  <c r="R75" i="7" s="1"/>
  <c r="H81" i="7" l="1"/>
  <c r="I81" i="7"/>
  <c r="D82" i="7" s="1"/>
  <c r="E82" i="7" s="1"/>
  <c r="S75" i="7"/>
  <c r="N76" i="7" s="1"/>
  <c r="O76" i="7" s="1"/>
  <c r="G82" i="7" l="1"/>
  <c r="F82" i="7" s="1"/>
  <c r="I82" i="7" s="1"/>
  <c r="D83" i="7" s="1"/>
  <c r="Q76" i="7"/>
  <c r="P76" i="7" s="1"/>
  <c r="H82" i="7" l="1"/>
  <c r="E83" i="7"/>
  <c r="G83" i="7"/>
  <c r="R76" i="7"/>
  <c r="S76" i="7"/>
  <c r="N77" i="7" s="1"/>
  <c r="F83" i="7" l="1"/>
  <c r="O77" i="7"/>
  <c r="Q77" i="7"/>
  <c r="H83" i="7" l="1"/>
  <c r="I83" i="7"/>
  <c r="D84" i="7" s="1"/>
  <c r="P77" i="7"/>
  <c r="R77" i="7" s="1"/>
  <c r="G84" i="7" l="1"/>
  <c r="E84" i="7"/>
  <c r="S77" i="7"/>
  <c r="N78" i="7" s="1"/>
  <c r="O78" i="7" s="1"/>
  <c r="F84" i="7" l="1"/>
  <c r="H84" i="7" s="1"/>
  <c r="Q78" i="7"/>
  <c r="P78" i="7" s="1"/>
  <c r="I84" i="7" l="1"/>
  <c r="D85" i="7" s="1"/>
  <c r="E85" i="7" s="1"/>
  <c r="R78" i="7"/>
  <c r="S78" i="7"/>
  <c r="N79" i="7" s="1"/>
  <c r="G85" i="7" l="1"/>
  <c r="F85" i="7" s="1"/>
  <c r="I85" i="7" s="1"/>
  <c r="D86" i="7" s="1"/>
  <c r="O79" i="7"/>
  <c r="Q79" i="7"/>
  <c r="H85" i="7" l="1"/>
  <c r="G86" i="7"/>
  <c r="E86" i="7"/>
  <c r="P79" i="7"/>
  <c r="R79" i="7" s="1"/>
  <c r="F86" i="7" l="1"/>
  <c r="H86" i="7" s="1"/>
  <c r="S79" i="7"/>
  <c r="N80" i="7" s="1"/>
  <c r="Q80" i="7" s="1"/>
  <c r="I86" i="7" l="1"/>
  <c r="D87" i="7" s="1"/>
  <c r="E87" i="7" s="1"/>
  <c r="O80" i="7"/>
  <c r="P80" i="7" s="1"/>
  <c r="R80" i="7" s="1"/>
  <c r="G87" i="7" l="1"/>
  <c r="F87" i="7" s="1"/>
  <c r="H87" i="7" s="1"/>
  <c r="S80" i="7"/>
  <c r="N81" i="7" s="1"/>
  <c r="Q81" i="7" s="1"/>
  <c r="I87" i="7" l="1"/>
  <c r="D88" i="7" s="1"/>
  <c r="G88" i="7" s="1"/>
  <c r="O81" i="7"/>
  <c r="P81" i="7" s="1"/>
  <c r="E88" i="7" l="1"/>
  <c r="F88" i="7" s="1"/>
  <c r="H88" i="7" s="1"/>
  <c r="R81" i="7"/>
  <c r="S81" i="7"/>
  <c r="N82" i="7" s="1"/>
  <c r="I88" i="7" l="1"/>
  <c r="D89" i="7" s="1"/>
  <c r="G89" i="7" s="1"/>
  <c r="O82" i="7"/>
  <c r="Q82" i="7"/>
  <c r="E89" i="7" l="1"/>
  <c r="F89" i="7" s="1"/>
  <c r="H89" i="7" s="1"/>
  <c r="P82" i="7"/>
  <c r="R82" i="7" s="1"/>
  <c r="I89" i="7" l="1"/>
  <c r="D90" i="7" s="1"/>
  <c r="G90" i="7" s="1"/>
  <c r="S82" i="7"/>
  <c r="N83" i="7" s="1"/>
  <c r="Q83" i="7" s="1"/>
  <c r="E90" i="7" l="1"/>
  <c r="F90" i="7" s="1"/>
  <c r="H90" i="7" s="1"/>
  <c r="O83" i="7"/>
  <c r="P83" i="7" s="1"/>
  <c r="R83" i="7" s="1"/>
  <c r="I90" i="7" l="1"/>
  <c r="D91" i="7" s="1"/>
  <c r="G91" i="7" s="1"/>
  <c r="S83" i="7"/>
  <c r="N84" i="7" s="1"/>
  <c r="O84" i="7" s="1"/>
  <c r="E91" i="7" l="1"/>
  <c r="F91" i="7" s="1"/>
  <c r="I91" i="7" s="1"/>
  <c r="D92" i="7" s="1"/>
  <c r="E92" i="7" s="1"/>
  <c r="Q84" i="7"/>
  <c r="P84" i="7" s="1"/>
  <c r="G92" i="7" l="1"/>
  <c r="F92" i="7" s="1"/>
  <c r="H91" i="7"/>
  <c r="R84" i="7"/>
  <c r="S84" i="7"/>
  <c r="N85" i="7" s="1"/>
  <c r="Q85" i="7" l="1"/>
  <c r="O85" i="7"/>
  <c r="H92" i="7"/>
  <c r="I92" i="7"/>
  <c r="D93" i="7" s="1"/>
  <c r="P85" i="7" l="1"/>
  <c r="E93" i="7"/>
  <c r="G93" i="7"/>
  <c r="R85" i="7" l="1"/>
  <c r="S85" i="7"/>
  <c r="N86" i="7" s="1"/>
  <c r="F93" i="7"/>
  <c r="O86" i="7" l="1"/>
  <c r="Q86" i="7"/>
  <c r="I93" i="7"/>
  <c r="D94" i="7" s="1"/>
  <c r="H93" i="7"/>
  <c r="P86" i="7" l="1"/>
  <c r="E94" i="7"/>
  <c r="G94" i="7"/>
  <c r="R86" i="7" l="1"/>
  <c r="S86" i="7"/>
  <c r="N87" i="7" s="1"/>
  <c r="F94" i="7"/>
  <c r="H94" i="7" s="1"/>
  <c r="Q87" i="7" l="1"/>
  <c r="O87" i="7"/>
  <c r="I94" i="7"/>
  <c r="D95" i="7" s="1"/>
  <c r="G95" i="7" s="1"/>
  <c r="P87" i="7" l="1"/>
  <c r="R87" i="7" s="1"/>
  <c r="E95" i="7"/>
  <c r="F95" i="7" s="1"/>
  <c r="H95" i="7" s="1"/>
  <c r="S87" i="7" l="1"/>
  <c r="N88" i="7" s="1"/>
  <c r="O88" i="7" s="1"/>
  <c r="I95" i="7"/>
  <c r="D96" i="7" s="1"/>
  <c r="Q88" i="7" l="1"/>
  <c r="P88" i="7" s="1"/>
  <c r="R88" i="7" s="1"/>
  <c r="G96" i="7"/>
  <c r="E96" i="7"/>
  <c r="S88" i="7" l="1"/>
  <c r="N89" i="7" s="1"/>
  <c r="Q89" i="7" s="1"/>
  <c r="F96" i="7"/>
  <c r="H96" i="7" s="1"/>
  <c r="O89" i="7" l="1"/>
  <c r="P89" i="7" s="1"/>
  <c r="I96" i="7"/>
  <c r="D97" i="7" s="1"/>
  <c r="G97" i="7" s="1"/>
  <c r="R89" i="7" l="1"/>
  <c r="S89" i="7"/>
  <c r="N90" i="7" s="1"/>
  <c r="E97" i="7"/>
  <c r="F97" i="7" s="1"/>
  <c r="H97" i="7" s="1"/>
  <c r="O90" i="7" l="1"/>
  <c r="Q90" i="7"/>
  <c r="I97" i="7"/>
  <c r="D98" i="7" s="1"/>
  <c r="E98" i="7" s="1"/>
  <c r="P90" i="7" l="1"/>
  <c r="G98" i="7"/>
  <c r="F98" i="7" s="1"/>
  <c r="R90" i="7" l="1"/>
  <c r="S90" i="7"/>
  <c r="N91" i="7" s="1"/>
  <c r="I98" i="7"/>
  <c r="D99" i="7" s="1"/>
  <c r="H98" i="7"/>
  <c r="O91" i="7" l="1"/>
  <c r="Q91" i="7"/>
  <c r="G99" i="7"/>
  <c r="E99" i="7"/>
  <c r="P91" i="7" l="1"/>
  <c r="R91" i="7" s="1"/>
  <c r="F99" i="7"/>
  <c r="I99" i="7" s="1"/>
  <c r="D100" i="7" s="1"/>
  <c r="S91" i="7" l="1"/>
  <c r="N92" i="7" s="1"/>
  <c r="Q92" i="7" s="1"/>
  <c r="H99" i="7"/>
  <c r="E100" i="7"/>
  <c r="G100" i="7"/>
  <c r="O92" i="7" l="1"/>
  <c r="P92" i="7" s="1"/>
  <c r="R92" i="7" s="1"/>
  <c r="F100" i="7"/>
  <c r="S92" i="7" l="1"/>
  <c r="N93" i="7" s="1"/>
  <c r="Q93" i="7" s="1"/>
  <c r="I100" i="7"/>
  <c r="D101" i="7" s="1"/>
  <c r="H100" i="7"/>
  <c r="O93" i="7" l="1"/>
  <c r="P93" i="7" s="1"/>
  <c r="R93" i="7" s="1"/>
  <c r="G101" i="7"/>
  <c r="E101" i="7"/>
  <c r="S93" i="7" l="1"/>
  <c r="N94" i="7" s="1"/>
  <c r="Q94" i="7" s="1"/>
  <c r="F101" i="7"/>
  <c r="H101" i="7" s="1"/>
  <c r="O94" i="7" l="1"/>
  <c r="P94" i="7" s="1"/>
  <c r="I101" i="7"/>
  <c r="D102" i="7" s="1"/>
  <c r="E102" i="7" s="1"/>
  <c r="R94" i="7" l="1"/>
  <c r="S94" i="7"/>
  <c r="N95" i="7" s="1"/>
  <c r="O95" i="7" s="1"/>
  <c r="G102" i="7"/>
  <c r="F102" i="7" s="1"/>
  <c r="Q95" i="7" l="1"/>
  <c r="P95" i="7" s="1"/>
  <c r="H102" i="7"/>
  <c r="I102" i="7"/>
  <c r="D103" i="7" s="1"/>
  <c r="R95" i="7" l="1"/>
  <c r="S95" i="7"/>
  <c r="N96" i="7" s="1"/>
  <c r="E103" i="7"/>
  <c r="G103" i="7"/>
  <c r="Q96" i="7" l="1"/>
  <c r="O96" i="7"/>
  <c r="F103" i="7"/>
  <c r="I103" i="7" s="1"/>
  <c r="D104" i="7" s="1"/>
  <c r="G104" i="7" s="1"/>
  <c r="P96" i="7" l="1"/>
  <c r="R96" i="7" s="1"/>
  <c r="E104" i="7"/>
  <c r="F104" i="7" s="1"/>
  <c r="H103" i="7"/>
  <c r="S96" i="7" l="1"/>
  <c r="N97" i="7" s="1"/>
  <c r="O97" i="7" s="1"/>
  <c r="H104" i="7"/>
  <c r="I104" i="7"/>
  <c r="D105" i="7" s="1"/>
  <c r="E105" i="7" s="1"/>
  <c r="Q97" i="7" l="1"/>
  <c r="P97" i="7" s="1"/>
  <c r="G105" i="7"/>
  <c r="F105" i="7" s="1"/>
  <c r="R97" i="7" l="1"/>
  <c r="S97" i="7"/>
  <c r="N98" i="7" s="1"/>
  <c r="H105" i="7"/>
  <c r="I105" i="7"/>
  <c r="D106" i="7" s="1"/>
  <c r="Q98" i="7" l="1"/>
  <c r="O98" i="7"/>
  <c r="E106" i="7"/>
  <c r="G106" i="7"/>
  <c r="P98" i="7" l="1"/>
  <c r="R98" i="7" s="1"/>
  <c r="F106" i="7"/>
  <c r="S98" i="7" l="1"/>
  <c r="N99" i="7" s="1"/>
  <c r="O99" i="7" s="1"/>
  <c r="H106" i="7"/>
  <c r="I106" i="7"/>
  <c r="D107" i="7" s="1"/>
  <c r="Q99" i="7" l="1"/>
  <c r="P99" i="7" s="1"/>
  <c r="E107" i="7"/>
  <c r="G107" i="7"/>
  <c r="R99" i="7" l="1"/>
  <c r="S99" i="7"/>
  <c r="N100" i="7" s="1"/>
  <c r="F107" i="7"/>
  <c r="Q100" i="7" l="1"/>
  <c r="O100" i="7"/>
  <c r="H107" i="7"/>
  <c r="I107" i="7"/>
  <c r="D108" i="7" s="1"/>
  <c r="P100" i="7" l="1"/>
  <c r="R100" i="7" s="1"/>
  <c r="G108" i="7"/>
  <c r="E108" i="7"/>
  <c r="S100" i="7" l="1"/>
  <c r="N101" i="7" s="1"/>
  <c r="Q101" i="7" s="1"/>
  <c r="F108" i="7"/>
  <c r="H108" i="7" s="1"/>
  <c r="O101" i="7" l="1"/>
  <c r="P101" i="7" s="1"/>
  <c r="I108" i="7"/>
  <c r="D109" i="7" s="1"/>
  <c r="R101" i="7" l="1"/>
  <c r="S101" i="7"/>
  <c r="N102" i="7" s="1"/>
  <c r="E109" i="7"/>
  <c r="G109" i="7"/>
  <c r="O102" i="7" l="1"/>
  <c r="Q102" i="7"/>
  <c r="F109" i="7"/>
  <c r="I109" i="7" s="1"/>
  <c r="D110" i="7" s="1"/>
  <c r="G110" i="7" s="1"/>
  <c r="P102" i="7" l="1"/>
  <c r="E110" i="7"/>
  <c r="F110" i="7" s="1"/>
  <c r="H110" i="7" s="1"/>
  <c r="H109" i="7"/>
  <c r="R102" i="7" l="1"/>
  <c r="S102" i="7"/>
  <c r="N103" i="7" s="1"/>
  <c r="I110" i="7"/>
  <c r="D111" i="7" s="1"/>
  <c r="E111" i="7" s="1"/>
  <c r="O103" i="7" l="1"/>
  <c r="Q103" i="7"/>
  <c r="G111" i="7"/>
  <c r="F111" i="7" s="1"/>
  <c r="H111" i="7" s="1"/>
  <c r="P103" i="7" l="1"/>
  <c r="I111" i="7"/>
  <c r="D112" i="7" s="1"/>
  <c r="G112" i="7" s="1"/>
  <c r="R103" i="7" l="1"/>
  <c r="S103" i="7"/>
  <c r="N104" i="7" s="1"/>
  <c r="E112" i="7"/>
  <c r="F112" i="7" s="1"/>
  <c r="H112" i="7" s="1"/>
  <c r="O104" i="7" l="1"/>
  <c r="Q104" i="7"/>
  <c r="I112" i="7"/>
  <c r="D113" i="7" s="1"/>
  <c r="G113" i="7" s="1"/>
  <c r="P104" i="7" l="1"/>
  <c r="E113" i="7"/>
  <c r="F113" i="7" s="1"/>
  <c r="I113" i="7" s="1"/>
  <c r="D114" i="7" s="1"/>
  <c r="R104" i="7" l="1"/>
  <c r="S104" i="7"/>
  <c r="N105" i="7" s="1"/>
  <c r="H113" i="7"/>
  <c r="G114" i="7"/>
  <c r="E114" i="7"/>
  <c r="O105" i="7" l="1"/>
  <c r="Q105" i="7"/>
  <c r="F114" i="7"/>
  <c r="I114" i="7" s="1"/>
  <c r="D115" i="7" s="1"/>
  <c r="P105" i="7" l="1"/>
  <c r="H114" i="7"/>
  <c r="G115" i="7"/>
  <c r="E115" i="7"/>
  <c r="R105" i="7" l="1"/>
  <c r="S105" i="7"/>
  <c r="N106" i="7" s="1"/>
  <c r="F115" i="7"/>
  <c r="H115" i="7" s="1"/>
  <c r="Q106" i="7" l="1"/>
  <c r="O106" i="7"/>
  <c r="I115" i="7"/>
  <c r="D116" i="7" s="1"/>
  <c r="E116" i="7" s="1"/>
  <c r="P106" i="7" l="1"/>
  <c r="G116" i="7"/>
  <c r="F116" i="7" s="1"/>
  <c r="H116" i="7" s="1"/>
  <c r="R106" i="7" l="1"/>
  <c r="S106" i="7"/>
  <c r="N107" i="7" s="1"/>
  <c r="I116" i="7"/>
  <c r="D117" i="7" s="1"/>
  <c r="E117" i="7" s="1"/>
  <c r="O107" i="7" l="1"/>
  <c r="Q107" i="7"/>
  <c r="G117" i="7"/>
  <c r="F117" i="7" s="1"/>
  <c r="H117" i="7" s="1"/>
  <c r="P107" i="7" l="1"/>
  <c r="I117" i="7"/>
  <c r="D118" i="7" s="1"/>
  <c r="G118" i="7" s="1"/>
  <c r="R107" i="7" l="1"/>
  <c r="S107" i="7"/>
  <c r="N108" i="7" s="1"/>
  <c r="E118" i="7"/>
  <c r="F118" i="7" s="1"/>
  <c r="H118" i="7" s="1"/>
  <c r="Q108" i="7" l="1"/>
  <c r="O108" i="7"/>
  <c r="I118" i="7"/>
  <c r="D119" i="7" s="1"/>
  <c r="G119" i="7" s="1"/>
  <c r="P108" i="7" l="1"/>
  <c r="R108" i="7" s="1"/>
  <c r="E119" i="7"/>
  <c r="F119" i="7" s="1"/>
  <c r="H119" i="7" s="1"/>
  <c r="S108" i="7" l="1"/>
  <c r="N109" i="7" s="1"/>
  <c r="Q109" i="7" s="1"/>
  <c r="I119" i="7"/>
  <c r="D120" i="7" s="1"/>
  <c r="G120" i="7" s="1"/>
  <c r="O109" i="7" l="1"/>
  <c r="P109" i="7" s="1"/>
  <c r="R109" i="7" s="1"/>
  <c r="E120" i="7"/>
  <c r="F120" i="7" s="1"/>
  <c r="S109" i="7" l="1"/>
  <c r="N110" i="7" s="1"/>
  <c r="Q110" i="7" s="1"/>
  <c r="H120" i="7"/>
  <c r="I120" i="7"/>
  <c r="D121" i="7" s="1"/>
  <c r="O110" i="7" l="1"/>
  <c r="P110" i="7" s="1"/>
  <c r="E121" i="7"/>
  <c r="G121" i="7"/>
  <c r="R110" i="7" l="1"/>
  <c r="S110" i="7"/>
  <c r="N111" i="7" s="1"/>
  <c r="F121" i="7"/>
  <c r="O111" i="7" l="1"/>
  <c r="Q111" i="7"/>
  <c r="H121" i="7"/>
  <c r="I121" i="7"/>
  <c r="D122" i="7" s="1"/>
  <c r="P111" i="7" l="1"/>
  <c r="R111" i="7" s="1"/>
  <c r="E122" i="7"/>
  <c r="G122" i="7"/>
  <c r="S111" i="7" l="1"/>
  <c r="N112" i="7" s="1"/>
  <c r="Q112" i="7" s="1"/>
  <c r="F122" i="7"/>
  <c r="O112" i="7" l="1"/>
  <c r="P112" i="7" s="1"/>
  <c r="R112" i="7" s="1"/>
  <c r="H122" i="7"/>
  <c r="I122" i="7"/>
  <c r="D123" i="7" s="1"/>
  <c r="S112" i="7" l="1"/>
  <c r="N113" i="7" s="1"/>
  <c r="Q113" i="7" s="1"/>
  <c r="G123" i="7"/>
  <c r="E123" i="7"/>
  <c r="O113" i="7" l="1"/>
  <c r="P113" i="7" s="1"/>
  <c r="R113" i="7" s="1"/>
  <c r="F123" i="7"/>
  <c r="H123" i="7" s="1"/>
  <c r="S113" i="7" l="1"/>
  <c r="N114" i="7" s="1"/>
  <c r="O114" i="7" s="1"/>
  <c r="I123" i="7"/>
  <c r="D124" i="7" s="1"/>
  <c r="G124" i="7" s="1"/>
  <c r="Q114" i="7" l="1"/>
  <c r="P114" i="7" s="1"/>
  <c r="R114" i="7" s="1"/>
  <c r="E124" i="7"/>
  <c r="F124" i="7" s="1"/>
  <c r="H124" i="7" s="1"/>
  <c r="S114" i="7" l="1"/>
  <c r="N115" i="7" s="1"/>
  <c r="O115" i="7" s="1"/>
  <c r="I124" i="7"/>
  <c r="D125" i="7" s="1"/>
  <c r="G125" i="7" s="1"/>
  <c r="Q115" i="7" l="1"/>
  <c r="P115" i="7" s="1"/>
  <c r="R115" i="7" s="1"/>
  <c r="E125" i="7"/>
  <c r="F125" i="7" s="1"/>
  <c r="H125" i="7" s="1"/>
  <c r="S115" i="7" l="1"/>
  <c r="N116" i="7" s="1"/>
  <c r="O116" i="7" s="1"/>
  <c r="I125" i="7"/>
  <c r="D126" i="7" s="1"/>
  <c r="E126" i="7" s="1"/>
  <c r="Q116" i="7" l="1"/>
  <c r="P116" i="7" s="1"/>
  <c r="G126" i="7"/>
  <c r="F126" i="7" s="1"/>
  <c r="R116" i="7" l="1"/>
  <c r="S116" i="7"/>
  <c r="N117" i="7" s="1"/>
  <c r="H126" i="7"/>
  <c r="I126" i="7"/>
  <c r="D127" i="7" s="1"/>
  <c r="Q117" i="7" l="1"/>
  <c r="O117" i="7"/>
  <c r="E127" i="7"/>
  <c r="G127" i="7"/>
  <c r="P117" i="7" l="1"/>
  <c r="R117" i="7" s="1"/>
  <c r="F127" i="7"/>
  <c r="S117" i="7" l="1"/>
  <c r="N118" i="7" s="1"/>
  <c r="Q118" i="7" s="1"/>
  <c r="H127" i="7"/>
  <c r="I127" i="7"/>
  <c r="D128" i="7" s="1"/>
  <c r="O118" i="7" l="1"/>
  <c r="P118" i="7" s="1"/>
  <c r="R118" i="7" s="1"/>
  <c r="E128" i="7"/>
  <c r="G128" i="7"/>
  <c r="S118" i="7" l="1"/>
  <c r="N119" i="7" s="1"/>
  <c r="O119" i="7" s="1"/>
  <c r="F128" i="7"/>
  <c r="Q119" i="7" l="1"/>
  <c r="P119" i="7" s="1"/>
  <c r="R119" i="7" s="1"/>
  <c r="H128" i="7"/>
  <c r="I128" i="7"/>
  <c r="D129" i="7" s="1"/>
  <c r="S119" i="7" l="1"/>
  <c r="N120" i="7" s="1"/>
  <c r="Q120" i="7" s="1"/>
  <c r="G129" i="7"/>
  <c r="E129" i="7"/>
  <c r="O120" i="7" l="1"/>
  <c r="P120" i="7" s="1"/>
  <c r="F129" i="7"/>
  <c r="H129" i="7" s="1"/>
  <c r="R120" i="7" l="1"/>
  <c r="S120" i="7"/>
  <c r="N121" i="7" s="1"/>
  <c r="O121" i="7" s="1"/>
  <c r="I129" i="7"/>
  <c r="D130" i="7" s="1"/>
  <c r="E130" i="7" s="1"/>
  <c r="Q121" i="7" l="1"/>
  <c r="P121" i="7" s="1"/>
  <c r="R121" i="7" s="1"/>
  <c r="G130" i="7"/>
  <c r="F130" i="7" s="1"/>
  <c r="I130" i="7" s="1"/>
  <c r="D131" i="7" s="1"/>
  <c r="G131" i="7" s="1"/>
  <c r="S121" i="7" l="1"/>
  <c r="N122" i="7" s="1"/>
  <c r="O122" i="7" s="1"/>
  <c r="H130" i="7"/>
  <c r="E131" i="7"/>
  <c r="F131" i="7" s="1"/>
  <c r="H131" i="7" s="1"/>
  <c r="Q122" i="7" l="1"/>
  <c r="P122" i="7" s="1"/>
  <c r="I131" i="7"/>
  <c r="D132" i="7" s="1"/>
  <c r="E132" i="7" s="1"/>
  <c r="S122" i="7" l="1"/>
  <c r="N123" i="7" s="1"/>
  <c r="Q123" i="7" s="1"/>
  <c r="R122" i="7"/>
  <c r="G132" i="7"/>
  <c r="F132" i="7" s="1"/>
  <c r="O123" i="7" l="1"/>
  <c r="P123" i="7" s="1"/>
  <c r="R123" i="7" s="1"/>
  <c r="H132" i="7"/>
  <c r="I132" i="7"/>
  <c r="D133" i="7" s="1"/>
  <c r="S123" i="7" l="1"/>
  <c r="N124" i="7" s="1"/>
  <c r="Q124" i="7" s="1"/>
  <c r="G133" i="7"/>
  <c r="E133" i="7"/>
  <c r="O124" i="7" l="1"/>
  <c r="P124" i="7" s="1"/>
  <c r="R124" i="7" s="1"/>
  <c r="F133" i="7"/>
  <c r="H133" i="7" s="1"/>
  <c r="S124" i="7" l="1"/>
  <c r="N125" i="7" s="1"/>
  <c r="Q125" i="7" s="1"/>
  <c r="I133" i="7"/>
  <c r="D134" i="7" s="1"/>
  <c r="E134" i="7" s="1"/>
  <c r="O125" i="7" l="1"/>
  <c r="P125" i="7" s="1"/>
  <c r="R125" i="7" s="1"/>
  <c r="G134" i="7"/>
  <c r="F134" i="7" s="1"/>
  <c r="S125" i="7" l="1"/>
  <c r="N126" i="7" s="1"/>
  <c r="O126" i="7" s="1"/>
  <c r="H134" i="7"/>
  <c r="I134" i="7"/>
  <c r="D135" i="7" s="1"/>
  <c r="Q126" i="7" l="1"/>
  <c r="P126" i="7" s="1"/>
  <c r="S126" i="7" s="1"/>
  <c r="N127" i="7" s="1"/>
  <c r="Q127" i="7" s="1"/>
  <c r="G135" i="7"/>
  <c r="E135" i="7"/>
  <c r="O127" i="7" l="1"/>
  <c r="P127" i="7" s="1"/>
  <c r="R127" i="7" s="1"/>
  <c r="R126" i="7"/>
  <c r="F135" i="7"/>
  <c r="H135" i="7" s="1"/>
  <c r="S127" i="7" l="1"/>
  <c r="N128" i="7" s="1"/>
  <c r="O128" i="7" s="1"/>
  <c r="I135" i="7"/>
  <c r="D136" i="7" s="1"/>
  <c r="G136" i="7" s="1"/>
  <c r="Q128" i="7" l="1"/>
  <c r="P128" i="7" s="1"/>
  <c r="S128" i="7" s="1"/>
  <c r="N129" i="7" s="1"/>
  <c r="E136" i="7"/>
  <c r="F136" i="7" s="1"/>
  <c r="H136" i="7" s="1"/>
  <c r="R128" i="7" l="1"/>
  <c r="Q129" i="7"/>
  <c r="O129" i="7"/>
  <c r="I136" i="7"/>
  <c r="D137" i="7" s="1"/>
  <c r="G137" i="7" s="1"/>
  <c r="P129" i="7" l="1"/>
  <c r="R129" i="7" s="1"/>
  <c r="E137" i="7"/>
  <c r="F137" i="7" s="1"/>
  <c r="H137" i="7" s="1"/>
  <c r="S129" i="7" l="1"/>
  <c r="N130" i="7" s="1"/>
  <c r="Q130" i="7" s="1"/>
  <c r="I137" i="7"/>
  <c r="D138" i="7" s="1"/>
  <c r="E138" i="7" s="1"/>
  <c r="O130" i="7" l="1"/>
  <c r="P130" i="7" s="1"/>
  <c r="G138" i="7"/>
  <c r="F138" i="7" s="1"/>
  <c r="R130" i="7" l="1"/>
  <c r="S130" i="7"/>
  <c r="N131" i="7" s="1"/>
  <c r="O131" i="7" s="1"/>
  <c r="H138" i="7"/>
  <c r="I138" i="7"/>
  <c r="D139" i="7" s="1"/>
  <c r="Q131" i="7" l="1"/>
  <c r="P131" i="7" s="1"/>
  <c r="R131" i="7" s="1"/>
  <c r="E139" i="7"/>
  <c r="G139" i="7"/>
  <c r="S131" i="7" l="1"/>
  <c r="N132" i="7" s="1"/>
  <c r="Q132" i="7" s="1"/>
  <c r="F139" i="7"/>
  <c r="O132" i="7" l="1"/>
  <c r="P132" i="7" s="1"/>
  <c r="R132" i="7" s="1"/>
  <c r="H139" i="7"/>
  <c r="I139" i="7"/>
  <c r="D140" i="7" s="1"/>
  <c r="S132" i="7" l="1"/>
  <c r="N133" i="7" s="1"/>
  <c r="Q133" i="7" s="1"/>
  <c r="E140" i="7"/>
  <c r="G140" i="7"/>
  <c r="O133" i="7" l="1"/>
  <c r="P133" i="7" s="1"/>
  <c r="R133" i="7" s="1"/>
  <c r="F140" i="7"/>
  <c r="S133" i="7" l="1"/>
  <c r="N134" i="7" s="1"/>
  <c r="O134" i="7" s="1"/>
  <c r="H140" i="7"/>
  <c r="I140" i="7"/>
  <c r="D141" i="7" s="1"/>
  <c r="Q134" i="7" l="1"/>
  <c r="P134" i="7" s="1"/>
  <c r="R134" i="7" s="1"/>
  <c r="G141" i="7"/>
  <c r="E141" i="7"/>
  <c r="S134" i="7" l="1"/>
  <c r="N135" i="7" s="1"/>
  <c r="O135" i="7" s="1"/>
  <c r="F141" i="7"/>
  <c r="H141" i="7" s="1"/>
  <c r="Q135" i="7" l="1"/>
  <c r="P135" i="7" s="1"/>
  <c r="R135" i="7" s="1"/>
  <c r="I141" i="7"/>
  <c r="D142" i="7" s="1"/>
  <c r="E142" i="7" s="1"/>
  <c r="S135" i="7" l="1"/>
  <c r="N136" i="7" s="1"/>
  <c r="O136" i="7" s="1"/>
  <c r="G142" i="7"/>
  <c r="F142" i="7" s="1"/>
  <c r="H142" i="7" s="1"/>
  <c r="Q136" i="7" l="1"/>
  <c r="P136" i="7" s="1"/>
  <c r="R136" i="7" s="1"/>
  <c r="I142" i="7"/>
  <c r="D143" i="7" s="1"/>
  <c r="G143" i="7" s="1"/>
  <c r="S136" i="7" l="1"/>
  <c r="N137" i="7" s="1"/>
  <c r="O137" i="7" s="1"/>
  <c r="E143" i="7"/>
  <c r="F143" i="7" s="1"/>
  <c r="Q137" i="7" l="1"/>
  <c r="P137" i="7" s="1"/>
  <c r="R137" i="7" s="1"/>
  <c r="H143" i="7"/>
  <c r="I143" i="7"/>
  <c r="D144" i="7" s="1"/>
  <c r="G144" i="7" s="1"/>
  <c r="S137" i="7" l="1"/>
  <c r="N138" i="7" s="1"/>
  <c r="Q138" i="7" s="1"/>
  <c r="E144" i="7"/>
  <c r="F144" i="7" s="1"/>
  <c r="O138" i="7" l="1"/>
  <c r="P138" i="7" s="1"/>
  <c r="H144" i="7"/>
  <c r="I144" i="7"/>
  <c r="D145" i="7" s="1"/>
  <c r="R138" i="7" l="1"/>
  <c r="S138" i="7"/>
  <c r="N139" i="7" s="1"/>
  <c r="Q139" i="7" s="1"/>
  <c r="G145" i="7"/>
  <c r="E145" i="7"/>
  <c r="O139" i="7" l="1"/>
  <c r="P139" i="7" s="1"/>
  <c r="S139" i="7" s="1"/>
  <c r="N140" i="7" s="1"/>
  <c r="F145" i="7"/>
  <c r="H145" i="7" s="1"/>
  <c r="R139" i="7" l="1"/>
  <c r="O140" i="7"/>
  <c r="Q140" i="7"/>
  <c r="I145" i="7"/>
  <c r="D146" i="7" s="1"/>
  <c r="G146" i="7" s="1"/>
  <c r="P140" i="7" l="1"/>
  <c r="R140" i="7" s="1"/>
  <c r="E146" i="7"/>
  <c r="F146" i="7" s="1"/>
  <c r="H146" i="7" s="1"/>
  <c r="S140" i="7" l="1"/>
  <c r="N141" i="7" s="1"/>
  <c r="Q141" i="7" s="1"/>
  <c r="I146" i="7"/>
  <c r="D147" i="7" s="1"/>
  <c r="E147" i="7" s="1"/>
  <c r="O141" i="7" l="1"/>
  <c r="P141" i="7" s="1"/>
  <c r="R141" i="7" s="1"/>
  <c r="G147" i="7"/>
  <c r="F147" i="7" s="1"/>
  <c r="S141" i="7" l="1"/>
  <c r="N142" i="7" s="1"/>
  <c r="Q142" i="7" s="1"/>
  <c r="H147" i="7"/>
  <c r="I147" i="7"/>
  <c r="D148" i="7" s="1"/>
  <c r="G148" i="7" s="1"/>
  <c r="O142" i="7" l="1"/>
  <c r="P142" i="7" s="1"/>
  <c r="E148" i="7"/>
  <c r="F148" i="7" s="1"/>
  <c r="H148" i="7" s="1"/>
  <c r="R142" i="7" l="1"/>
  <c r="S142" i="7"/>
  <c r="N143" i="7" s="1"/>
  <c r="O143" i="7" s="1"/>
  <c r="I148" i="7"/>
  <c r="D149" i="7" s="1"/>
  <c r="G149" i="7" s="1"/>
  <c r="Q143" i="7" l="1"/>
  <c r="P143" i="7" s="1"/>
  <c r="E149" i="7"/>
  <c r="F149" i="7" s="1"/>
  <c r="S143" i="7" l="1"/>
  <c r="N144" i="7" s="1"/>
  <c r="O144" i="7" s="1"/>
  <c r="R143" i="7"/>
  <c r="H149" i="7"/>
  <c r="I149" i="7"/>
  <c r="D150" i="7" s="1"/>
  <c r="Q144" i="7" l="1"/>
  <c r="P144" i="7" s="1"/>
  <c r="R144" i="7" s="1"/>
  <c r="G150" i="7"/>
  <c r="E150" i="7"/>
  <c r="S144" i="7" l="1"/>
  <c r="N145" i="7" s="1"/>
  <c r="O145" i="7" s="1"/>
  <c r="F150" i="7"/>
  <c r="H150" i="7" s="1"/>
  <c r="Q145" i="7" l="1"/>
  <c r="P145" i="7" s="1"/>
  <c r="R145" i="7" s="1"/>
  <c r="I150" i="7"/>
  <c r="D151" i="7" s="1"/>
  <c r="E151" i="7" s="1"/>
  <c r="S145" i="7" l="1"/>
  <c r="N146" i="7" s="1"/>
  <c r="O146" i="7" s="1"/>
  <c r="G151" i="7"/>
  <c r="F151" i="7" s="1"/>
  <c r="Q146" i="7" l="1"/>
  <c r="P146" i="7" s="1"/>
  <c r="H151" i="7"/>
  <c r="I151" i="7"/>
  <c r="D152" i="7" s="1"/>
  <c r="R146" i="7" l="1"/>
  <c r="S146" i="7"/>
  <c r="N147" i="7" s="1"/>
  <c r="Q147" i="7" s="1"/>
  <c r="E152" i="7"/>
  <c r="G152" i="7"/>
  <c r="O147" i="7" l="1"/>
  <c r="P147" i="7" s="1"/>
  <c r="R147" i="7" s="1"/>
  <c r="F152" i="7"/>
  <c r="H152" i="7" s="1"/>
  <c r="S147" i="7" l="1"/>
  <c r="N148" i="7" s="1"/>
  <c r="O148" i="7" s="1"/>
  <c r="I152" i="7"/>
  <c r="D153" i="7" s="1"/>
  <c r="E153" i="7" s="1"/>
  <c r="Q148" i="7" l="1"/>
  <c r="P148" i="7" s="1"/>
  <c r="R148" i="7" s="1"/>
  <c r="G153" i="7"/>
  <c r="F153" i="7" s="1"/>
  <c r="S148" i="7" l="1"/>
  <c r="N149" i="7" s="1"/>
  <c r="O149" i="7" s="1"/>
  <c r="H153" i="7"/>
  <c r="I153" i="7"/>
  <c r="D154" i="7" s="1"/>
  <c r="Q149" i="7" l="1"/>
  <c r="P149" i="7" s="1"/>
  <c r="R149" i="7" s="1"/>
  <c r="E154" i="7"/>
  <c r="G154" i="7"/>
  <c r="S149" i="7" l="1"/>
  <c r="N150" i="7" s="1"/>
  <c r="Q150" i="7" s="1"/>
  <c r="F154" i="7"/>
  <c r="O150" i="7" l="1"/>
  <c r="P150" i="7" s="1"/>
  <c r="R150" i="7" s="1"/>
  <c r="H154" i="7"/>
  <c r="I154" i="7"/>
  <c r="D155" i="7" s="1"/>
  <c r="S150" i="7" l="1"/>
  <c r="N151" i="7" s="1"/>
  <c r="O151" i="7" s="1"/>
  <c r="G155" i="7"/>
  <c r="E155" i="7"/>
  <c r="Q151" i="7" l="1"/>
  <c r="P151" i="7" s="1"/>
  <c r="R151" i="7" s="1"/>
  <c r="F155" i="7"/>
  <c r="H155" i="7" s="1"/>
  <c r="S151" i="7" l="1"/>
  <c r="N152" i="7" s="1"/>
  <c r="O152" i="7" s="1"/>
  <c r="I155" i="7"/>
  <c r="D156" i="7" s="1"/>
  <c r="G156" i="7" s="1"/>
  <c r="Q152" i="7" l="1"/>
  <c r="P152" i="7" s="1"/>
  <c r="E156" i="7"/>
  <c r="F156" i="7" s="1"/>
  <c r="H156" i="7" s="1"/>
  <c r="R152" i="7" l="1"/>
  <c r="S152" i="7"/>
  <c r="N153" i="7" s="1"/>
  <c r="I156" i="7"/>
  <c r="D157" i="7" s="1"/>
  <c r="G157" i="7" s="1"/>
  <c r="Q153" i="7" l="1"/>
  <c r="O153" i="7"/>
  <c r="E157" i="7"/>
  <c r="F157" i="7" s="1"/>
  <c r="P153" i="7" l="1"/>
  <c r="R153" i="7" s="1"/>
  <c r="H157" i="7"/>
  <c r="I157" i="7"/>
  <c r="D158" i="7" s="1"/>
  <c r="E158" i="7" s="1"/>
  <c r="S153" i="7" l="1"/>
  <c r="N154" i="7" s="1"/>
  <c r="Q154" i="7" s="1"/>
  <c r="G158" i="7"/>
  <c r="F158" i="7" s="1"/>
  <c r="O154" i="7" l="1"/>
  <c r="P154" i="7" s="1"/>
  <c r="R154" i="7" s="1"/>
  <c r="H158" i="7"/>
  <c r="I158" i="7"/>
  <c r="D159" i="7" s="1"/>
  <c r="S154" i="7" l="1"/>
  <c r="N155" i="7" s="1"/>
  <c r="O155" i="7" s="1"/>
  <c r="G159" i="7"/>
  <c r="E159" i="7"/>
  <c r="Q155" i="7" l="1"/>
  <c r="P155" i="7" s="1"/>
  <c r="R155" i="7" s="1"/>
  <c r="F159" i="7"/>
  <c r="H159" i="7" s="1"/>
  <c r="S155" i="7" l="1"/>
  <c r="N156" i="7" s="1"/>
  <c r="O156" i="7" s="1"/>
  <c r="I159" i="7"/>
  <c r="D160" i="7" s="1"/>
  <c r="E160" i="7" s="1"/>
  <c r="Q156" i="7" l="1"/>
  <c r="P156" i="7" s="1"/>
  <c r="G160" i="7"/>
  <c r="F160" i="7" s="1"/>
  <c r="R156" i="7" l="1"/>
  <c r="S156" i="7"/>
  <c r="N157" i="7" s="1"/>
  <c r="H160" i="7"/>
  <c r="I160" i="7"/>
  <c r="D161" i="7" s="1"/>
  <c r="O157" i="7" l="1"/>
  <c r="Q157" i="7"/>
  <c r="G161" i="7"/>
  <c r="E161" i="7"/>
  <c r="P157" i="7" l="1"/>
  <c r="R157" i="7" s="1"/>
  <c r="F161" i="7"/>
  <c r="H161" i="7" s="1"/>
  <c r="S157" i="7" l="1"/>
  <c r="N158" i="7" s="1"/>
  <c r="Q158" i="7" s="1"/>
  <c r="I161" i="7"/>
  <c r="D162" i="7" s="1"/>
  <c r="G162" i="7" s="1"/>
  <c r="O158" i="7" l="1"/>
  <c r="P158" i="7" s="1"/>
  <c r="R158" i="7" s="1"/>
  <c r="E162" i="7"/>
  <c r="F162" i="7" s="1"/>
  <c r="H162" i="7" s="1"/>
  <c r="S158" i="7" l="1"/>
  <c r="N159" i="7" s="1"/>
  <c r="O159" i="7" s="1"/>
  <c r="I162" i="7"/>
  <c r="D163" i="7" s="1"/>
  <c r="G163" i="7" s="1"/>
  <c r="Q159" i="7" l="1"/>
  <c r="P159" i="7" s="1"/>
  <c r="S159" i="7" s="1"/>
  <c r="N160" i="7" s="1"/>
  <c r="E163" i="7"/>
  <c r="F163" i="7" s="1"/>
  <c r="H163" i="7" s="1"/>
  <c r="R159" i="7" l="1"/>
  <c r="Q160" i="7"/>
  <c r="O160" i="7"/>
  <c r="I163" i="7"/>
  <c r="D164" i="7" s="1"/>
  <c r="E164" i="7" s="1"/>
  <c r="P160" i="7" l="1"/>
  <c r="R160" i="7" s="1"/>
  <c r="G164" i="7"/>
  <c r="F164" i="7" s="1"/>
  <c r="S160" i="7" l="1"/>
  <c r="N161" i="7" s="1"/>
  <c r="O161" i="7" s="1"/>
  <c r="H164" i="7"/>
  <c r="I164" i="7"/>
  <c r="D165" i="7" s="1"/>
  <c r="Q161" i="7" l="1"/>
  <c r="P161" i="7" s="1"/>
  <c r="E165" i="7"/>
  <c r="G165" i="7"/>
  <c r="R161" i="7" l="1"/>
  <c r="S161" i="7"/>
  <c r="N162" i="7" s="1"/>
  <c r="F165" i="7"/>
  <c r="Q162" i="7" l="1"/>
  <c r="O162" i="7"/>
  <c r="H165" i="7"/>
  <c r="I165" i="7"/>
  <c r="D166" i="7" s="1"/>
  <c r="P162" i="7" l="1"/>
  <c r="R162" i="7" s="1"/>
  <c r="E166" i="7"/>
  <c r="G166" i="7"/>
  <c r="S162" i="7" l="1"/>
  <c r="N163" i="7" s="1"/>
  <c r="O163" i="7" s="1"/>
  <c r="F166" i="7"/>
  <c r="Q163" i="7" l="1"/>
  <c r="P163" i="7" s="1"/>
  <c r="R163" i="7" s="1"/>
  <c r="H166" i="7"/>
  <c r="I166" i="7"/>
  <c r="D167" i="7" s="1"/>
  <c r="S163" i="7" l="1"/>
  <c r="N164" i="7" s="1"/>
  <c r="Q164" i="7" s="1"/>
  <c r="G167" i="7"/>
  <c r="E167" i="7"/>
  <c r="O164" i="7" l="1"/>
  <c r="P164" i="7" s="1"/>
  <c r="R164" i="7" s="1"/>
  <c r="F167" i="7"/>
  <c r="H167" i="7" s="1"/>
  <c r="S164" i="7" l="1"/>
  <c r="N165" i="7" s="1"/>
  <c r="Q165" i="7" s="1"/>
  <c r="I167" i="7"/>
  <c r="D168" i="7" s="1"/>
  <c r="G168" i="7" s="1"/>
  <c r="O165" i="7" l="1"/>
  <c r="P165" i="7" s="1"/>
  <c r="R165" i="7" s="1"/>
  <c r="E168" i="7"/>
  <c r="F168" i="7" s="1"/>
  <c r="H168" i="7" s="1"/>
  <c r="S165" i="7" l="1"/>
  <c r="N166" i="7" s="1"/>
  <c r="O166" i="7" s="1"/>
  <c r="I168" i="7"/>
  <c r="D169" i="7" s="1"/>
  <c r="E169" i="7" s="1"/>
  <c r="Q166" i="7" l="1"/>
  <c r="P166" i="7" s="1"/>
  <c r="G169" i="7"/>
  <c r="F169" i="7" s="1"/>
  <c r="R166" i="7" l="1"/>
  <c r="S166" i="7"/>
  <c r="N167" i="7" s="1"/>
  <c r="Q167" i="7" s="1"/>
  <c r="H169" i="7"/>
  <c r="I169" i="7"/>
  <c r="D170" i="7" s="1"/>
  <c r="O167" i="7" l="1"/>
  <c r="P167" i="7" s="1"/>
  <c r="R167" i="7" s="1"/>
  <c r="G170" i="7"/>
  <c r="E170" i="7"/>
  <c r="S167" i="7" l="1"/>
  <c r="N168" i="7" s="1"/>
  <c r="Q168" i="7" s="1"/>
  <c r="F170" i="7"/>
  <c r="H170" i="7" s="1"/>
  <c r="O168" i="7" l="1"/>
  <c r="P168" i="7" s="1"/>
  <c r="R168" i="7" s="1"/>
  <c r="I170" i="7"/>
  <c r="D171" i="7" s="1"/>
  <c r="E171" i="7" s="1"/>
  <c r="S168" i="7" l="1"/>
  <c r="N169" i="7" s="1"/>
  <c r="O169" i="7" s="1"/>
  <c r="G171" i="7"/>
  <c r="F171" i="7" s="1"/>
  <c r="Q169" i="7" l="1"/>
  <c r="P169" i="7" s="1"/>
  <c r="S169" i="7" s="1"/>
  <c r="N170" i="7" s="1"/>
  <c r="O170" i="7" s="1"/>
  <c r="H171" i="7"/>
  <c r="I171" i="7"/>
  <c r="D172" i="7" s="1"/>
  <c r="R169" i="7" l="1"/>
  <c r="Q170" i="7"/>
  <c r="P170" i="7" s="1"/>
  <c r="G172" i="7"/>
  <c r="E172" i="7"/>
  <c r="R170" i="7" l="1"/>
  <c r="S170" i="7"/>
  <c r="N171" i="7" s="1"/>
  <c r="F172" i="7"/>
  <c r="H172" i="7" s="1"/>
  <c r="O171" i="7" l="1"/>
  <c r="Q171" i="7"/>
  <c r="I172" i="7"/>
  <c r="D173" i="7" s="1"/>
  <c r="G173" i="7" s="1"/>
  <c r="P171" i="7" l="1"/>
  <c r="E173" i="7"/>
  <c r="F173" i="7" s="1"/>
  <c r="H173" i="7" s="1"/>
  <c r="R171" i="7" l="1"/>
  <c r="S171" i="7"/>
  <c r="N172" i="7" s="1"/>
  <c r="I173" i="7"/>
  <c r="D174" i="7" s="1"/>
  <c r="G174" i="7" s="1"/>
  <c r="Q172" i="7" l="1"/>
  <c r="O172" i="7"/>
  <c r="E174" i="7"/>
  <c r="F174" i="7" s="1"/>
  <c r="H174" i="7" s="1"/>
  <c r="P172" i="7" l="1"/>
  <c r="R172" i="7" s="1"/>
  <c r="I174" i="7"/>
  <c r="D175" i="7" s="1"/>
  <c r="E175" i="7" s="1"/>
  <c r="S172" i="7" l="1"/>
  <c r="N173" i="7" s="1"/>
  <c r="Q173" i="7" s="1"/>
  <c r="G175" i="7"/>
  <c r="F175" i="7" s="1"/>
  <c r="H175" i="7" s="1"/>
  <c r="O173" i="7" l="1"/>
  <c r="P173" i="7" s="1"/>
  <c r="R173" i="7" s="1"/>
  <c r="I175" i="7"/>
  <c r="D176" i="7" s="1"/>
  <c r="G176" i="7" s="1"/>
  <c r="S173" i="7" l="1"/>
  <c r="N174" i="7" s="1"/>
  <c r="O174" i="7" s="1"/>
  <c r="E176" i="7"/>
  <c r="F176" i="7" s="1"/>
  <c r="H176" i="7" s="1"/>
  <c r="Q174" i="7" l="1"/>
  <c r="P174" i="7" s="1"/>
  <c r="R174" i="7" s="1"/>
  <c r="I176" i="7"/>
  <c r="D177" i="7" s="1"/>
  <c r="E177" i="7" s="1"/>
  <c r="S174" i="7" l="1"/>
  <c r="N175" i="7" s="1"/>
  <c r="O175" i="7" s="1"/>
  <c r="G177" i="7"/>
  <c r="F177" i="7" s="1"/>
  <c r="Q175" i="7" l="1"/>
  <c r="P175" i="7" s="1"/>
  <c r="R175" i="7" s="1"/>
  <c r="I177" i="7"/>
  <c r="D178" i="7" s="1"/>
  <c r="G178" i="7" s="1"/>
  <c r="H177" i="7"/>
  <c r="S175" i="7" l="1"/>
  <c r="N176" i="7" s="1"/>
  <c r="O176" i="7" s="1"/>
  <c r="E178" i="7"/>
  <c r="F178" i="7" s="1"/>
  <c r="H178" i="7" s="1"/>
  <c r="Q176" i="7" l="1"/>
  <c r="P176" i="7" s="1"/>
  <c r="I178" i="7"/>
  <c r="D179" i="7" s="1"/>
  <c r="E179" i="7" s="1"/>
  <c r="R176" i="7" l="1"/>
  <c r="S176" i="7"/>
  <c r="N177" i="7" s="1"/>
  <c r="G179" i="7"/>
  <c r="F179" i="7" s="1"/>
  <c r="O177" i="7" l="1"/>
  <c r="Q177" i="7"/>
  <c r="H179" i="7"/>
  <c r="I179" i="7"/>
  <c r="D180" i="7" s="1"/>
  <c r="E180" i="7" s="1"/>
  <c r="P177" i="7" l="1"/>
  <c r="R177" i="7" s="1"/>
  <c r="G180" i="7"/>
  <c r="F180" i="7" s="1"/>
  <c r="S177" i="7" l="1"/>
  <c r="N178" i="7" s="1"/>
  <c r="Q178" i="7" s="1"/>
  <c r="H180" i="7"/>
  <c r="I180" i="7"/>
  <c r="D181" i="7" s="1"/>
  <c r="O178" i="7" l="1"/>
  <c r="P178" i="7" s="1"/>
  <c r="G181" i="7"/>
  <c r="E181" i="7"/>
  <c r="R178" i="7" l="1"/>
  <c r="S178" i="7"/>
  <c r="N179" i="7" s="1"/>
  <c r="F181" i="7"/>
  <c r="H181" i="7" s="1"/>
  <c r="O179" i="7" l="1"/>
  <c r="Q179" i="7"/>
  <c r="I181" i="7"/>
  <c r="D182" i="7" s="1"/>
  <c r="E182" i="7" s="1"/>
  <c r="P179" i="7" l="1"/>
  <c r="R179" i="7" s="1"/>
  <c r="G182" i="7"/>
  <c r="F182" i="7" s="1"/>
  <c r="S179" i="7" l="1"/>
  <c r="N180" i="7" s="1"/>
  <c r="O180" i="7" s="1"/>
  <c r="H182" i="7"/>
  <c r="I182" i="7"/>
  <c r="D183" i="7" s="1"/>
  <c r="Q180" i="7" l="1"/>
  <c r="P180" i="7" s="1"/>
  <c r="R180" i="7" s="1"/>
  <c r="E183" i="7"/>
  <c r="G183" i="7"/>
  <c r="S180" i="7" l="1"/>
  <c r="N181" i="7" s="1"/>
  <c r="O181" i="7" s="1"/>
  <c r="F183" i="7"/>
  <c r="Q181" i="7" l="1"/>
  <c r="P181" i="7" s="1"/>
  <c r="R181" i="7" s="1"/>
  <c r="H183" i="7"/>
  <c r="I183" i="7"/>
  <c r="D184" i="7" s="1"/>
  <c r="S181" i="7" l="1"/>
  <c r="N182" i="7" s="1"/>
  <c r="Q182" i="7" s="1"/>
  <c r="G184" i="7"/>
  <c r="E184" i="7"/>
  <c r="O182" i="7" l="1"/>
  <c r="P182" i="7" s="1"/>
  <c r="R182" i="7" s="1"/>
  <c r="F184" i="7"/>
  <c r="H184" i="7" s="1"/>
  <c r="S182" i="7" l="1"/>
  <c r="N183" i="7" s="1"/>
  <c r="Q183" i="7" s="1"/>
  <c r="I184" i="7"/>
  <c r="D185" i="7" s="1"/>
  <c r="E185" i="7" s="1"/>
  <c r="O183" i="7" l="1"/>
  <c r="P183" i="7" s="1"/>
  <c r="S183" i="7" s="1"/>
  <c r="N184" i="7" s="1"/>
  <c r="G185" i="7"/>
  <c r="F185" i="7" s="1"/>
  <c r="R183" i="7" l="1"/>
  <c r="Q184" i="7"/>
  <c r="O184" i="7"/>
  <c r="H185" i="7"/>
  <c r="I185" i="7"/>
  <c r="D186" i="7" s="1"/>
  <c r="G186" i="7" s="1"/>
  <c r="P184" i="7" l="1"/>
  <c r="R184" i="7" s="1"/>
  <c r="E186" i="7"/>
  <c r="F186" i="7" s="1"/>
  <c r="H186" i="7" s="1"/>
  <c r="S184" i="7" l="1"/>
  <c r="N185" i="7" s="1"/>
  <c r="O185" i="7" s="1"/>
  <c r="I186" i="7"/>
  <c r="D187" i="7" s="1"/>
  <c r="E187" i="7" s="1"/>
  <c r="Q185" i="7" l="1"/>
  <c r="P185" i="7" s="1"/>
  <c r="R185" i="7" s="1"/>
  <c r="G187" i="7"/>
  <c r="F187" i="7" s="1"/>
  <c r="H187" i="7" s="1"/>
  <c r="S185" i="7" l="1"/>
  <c r="N186" i="7" s="1"/>
  <c r="O186" i="7" s="1"/>
  <c r="I187" i="7"/>
  <c r="D188" i="7" s="1"/>
  <c r="E188" i="7" s="1"/>
  <c r="Q186" i="7" l="1"/>
  <c r="P186" i="7" s="1"/>
  <c r="R186" i="7" s="1"/>
  <c r="G188" i="7"/>
  <c r="F188" i="7" s="1"/>
  <c r="S186" i="7" l="1"/>
  <c r="N187" i="7" s="1"/>
  <c r="O187" i="7" s="1"/>
  <c r="H188" i="7"/>
  <c r="I188" i="7"/>
  <c r="D189" i="7" s="1"/>
  <c r="Q187" i="7" l="1"/>
  <c r="P187" i="7" s="1"/>
  <c r="E189" i="7"/>
  <c r="G189" i="7"/>
  <c r="S187" i="7" l="1"/>
  <c r="N188" i="7" s="1"/>
  <c r="R187" i="7"/>
  <c r="F189" i="7"/>
  <c r="Q188" i="7" l="1"/>
  <c r="O188" i="7"/>
  <c r="H189" i="7"/>
  <c r="I189" i="7"/>
  <c r="D190" i="7" s="1"/>
  <c r="P188" i="7" l="1"/>
  <c r="R188" i="7" s="1"/>
  <c r="G190" i="7"/>
  <c r="E190" i="7"/>
  <c r="S188" i="7" l="1"/>
  <c r="N189" i="7" s="1"/>
  <c r="Q189" i="7" s="1"/>
  <c r="F190" i="7"/>
  <c r="H190" i="7" s="1"/>
  <c r="O189" i="7" l="1"/>
  <c r="P189" i="7" s="1"/>
  <c r="R189" i="7" s="1"/>
  <c r="I190" i="7"/>
  <c r="D191" i="7" s="1"/>
  <c r="G191" i="7" s="1"/>
  <c r="S189" i="7" l="1"/>
  <c r="N190" i="7" s="1"/>
  <c r="O190" i="7" s="1"/>
  <c r="E191" i="7"/>
  <c r="F191" i="7" s="1"/>
  <c r="Q190" i="7" l="1"/>
  <c r="P190" i="7" s="1"/>
  <c r="R190" i="7" s="1"/>
  <c r="H191" i="7"/>
  <c r="I191" i="7"/>
  <c r="D192" i="7" s="1"/>
  <c r="S190" i="7" l="1"/>
  <c r="N191" i="7" s="1"/>
  <c r="O191" i="7" s="1"/>
  <c r="E192" i="7"/>
  <c r="G192" i="7"/>
  <c r="Q191" i="7" l="1"/>
  <c r="P191" i="7" s="1"/>
  <c r="R191" i="7" s="1"/>
  <c r="F192" i="7"/>
  <c r="H192" i="7" s="1"/>
  <c r="S191" i="7" l="1"/>
  <c r="N192" i="7" s="1"/>
  <c r="Q192" i="7" s="1"/>
  <c r="I192" i="7"/>
  <c r="D193" i="7" s="1"/>
  <c r="E193" i="7" s="1"/>
  <c r="O192" i="7" l="1"/>
  <c r="P192" i="7" s="1"/>
  <c r="R192" i="7" s="1"/>
  <c r="G193" i="7"/>
  <c r="F193" i="7" s="1"/>
  <c r="H193" i="7" s="1"/>
  <c r="S192" i="7" l="1"/>
  <c r="N193" i="7" s="1"/>
  <c r="Q193" i="7" s="1"/>
  <c r="I193" i="7"/>
  <c r="D194" i="7" s="1"/>
  <c r="G194" i="7" s="1"/>
  <c r="O193" i="7" l="1"/>
  <c r="P193" i="7" s="1"/>
  <c r="S193" i="7" s="1"/>
  <c r="N194" i="7" s="1"/>
  <c r="E194" i="7"/>
  <c r="F194" i="7" s="1"/>
  <c r="R193" i="7" l="1"/>
  <c r="Q194" i="7"/>
  <c r="O194" i="7"/>
  <c r="H194" i="7"/>
  <c r="I194" i="7"/>
  <c r="F21" i="11" s="1"/>
  <c r="E43" i="4" l="1"/>
  <c r="F43" i="4"/>
  <c r="G43" i="4"/>
  <c r="H43" i="4"/>
  <c r="I43" i="4"/>
  <c r="J43" i="4"/>
  <c r="K43" i="4"/>
  <c r="L43" i="4"/>
  <c r="M43" i="4"/>
  <c r="N43" i="4"/>
  <c r="O43" i="4"/>
  <c r="P43" i="4"/>
  <c r="Q43" i="4"/>
  <c r="R43" i="4"/>
  <c r="S43" i="4"/>
  <c r="P194" i="7"/>
  <c r="R194" i="7" s="1"/>
  <c r="E44" i="4" l="1"/>
  <c r="F44" i="4"/>
  <c r="G44" i="4"/>
  <c r="H44" i="4"/>
  <c r="I44" i="4"/>
  <c r="J44" i="4"/>
  <c r="K44" i="4"/>
  <c r="L44" i="4"/>
  <c r="M44" i="4"/>
  <c r="N44" i="4"/>
  <c r="O44" i="4"/>
  <c r="P44" i="4"/>
  <c r="Q44" i="4"/>
  <c r="R44" i="4"/>
  <c r="S44" i="4"/>
  <c r="S194" i="7"/>
  <c r="F22" i="11" s="1"/>
  <c r="L29" i="1" l="1"/>
  <c r="I70" i="22"/>
  <c r="I74" i="22" s="1"/>
  <c r="H74" i="22"/>
  <c r="E19" i="25" l="1"/>
  <c r="F32" i="11"/>
  <c r="F36" i="11" s="1"/>
  <c r="H145" i="24"/>
  <c r="L31" i="1"/>
  <c r="H147" i="24" s="1"/>
  <c r="P147" i="24" s="1"/>
  <c r="M29" i="1"/>
  <c r="U22" i="25" l="1"/>
  <c r="U26" i="25" s="1"/>
  <c r="U57" i="25" s="1"/>
  <c r="U58" i="25" s="1"/>
  <c r="U60" i="25" s="1"/>
  <c r="U61" i="25" s="1"/>
  <c r="L148" i="24"/>
  <c r="K148" i="24"/>
  <c r="M31" i="1"/>
  <c r="E21" i="25"/>
  <c r="M127" i="24" l="1"/>
  <c r="M129" i="24" s="1"/>
  <c r="U70" i="25"/>
  <c r="P145" i="24"/>
  <c r="K127" i="24"/>
  <c r="K129" i="24" s="1"/>
  <c r="K149" i="24" s="1"/>
  <c r="L127" i="24"/>
  <c r="L129" i="24" s="1"/>
  <c r="L149" i="24" s="1"/>
  <c r="F21" i="25"/>
  <c r="U62" i="25"/>
  <c r="U69" i="25"/>
  <c r="U71" i="25" l="1"/>
  <c r="U73" i="25" s="1"/>
  <c r="U74" i="25" s="1"/>
  <c r="AM19" i="25"/>
  <c r="F19" i="25"/>
  <c r="AN19" i="25" l="1"/>
  <c r="AM22" i="25"/>
  <c r="AN22" i="25" s="1"/>
  <c r="AM46" i="25"/>
  <c r="N128" i="24"/>
  <c r="N129" i="24" s="1"/>
  <c r="U75" i="25"/>
  <c r="AN46" i="25" l="1"/>
  <c r="AM48" i="25"/>
  <c r="AN48" i="25" s="1"/>
  <c r="N148" i="24"/>
  <c r="N149" i="24" s="1"/>
  <c r="M148" i="24" l="1"/>
  <c r="M149" i="24" s="1"/>
  <c r="P137" i="24"/>
  <c r="AM59" i="25" l="1"/>
  <c r="AN59" i="25" s="1"/>
  <c r="AM72" i="25" l="1"/>
  <c r="AN72" i="25" s="1"/>
  <c r="J127" i="24" l="1"/>
  <c r="J129" i="24" s="1"/>
  <c r="AM56" i="25" l="1"/>
  <c r="AN56" i="25" s="1"/>
  <c r="AM55" i="25"/>
  <c r="AN55" i="25" s="1"/>
  <c r="AM25" i="25" l="1"/>
  <c r="AM24" i="25"/>
  <c r="AN24" i="25" s="1"/>
  <c r="F25" i="25"/>
  <c r="AM70" i="25" l="1"/>
  <c r="AN70" i="25" s="1"/>
  <c r="AM57" i="25"/>
  <c r="AM26" i="25"/>
  <c r="AN26" i="25" s="1"/>
  <c r="AN50" i="25" s="1"/>
  <c r="AN25" i="25"/>
  <c r="AM60" i="25" l="1"/>
  <c r="AN60" i="25" s="1"/>
  <c r="AN57" i="25"/>
  <c r="AM58" i="25"/>
  <c r="AN58" i="25" s="1"/>
  <c r="AM61" i="25" l="1"/>
  <c r="AN61" i="25" s="1"/>
  <c r="AM62" i="25"/>
  <c r="AN62" i="25" s="1"/>
  <c r="AM69" i="25" l="1"/>
  <c r="AN69" i="25" l="1"/>
  <c r="AM71" i="25"/>
  <c r="AN71" i="25" s="1"/>
  <c r="AM73" i="25"/>
  <c r="AN73" i="25" s="1"/>
  <c r="AM74" i="25" l="1"/>
  <c r="AN74" i="25" s="1"/>
  <c r="AM75" i="25"/>
  <c r="AN75" i="25" s="1"/>
  <c r="N80" i="4" l="1"/>
  <c r="B32" i="8" l="1"/>
  <c r="C32" i="8"/>
  <c r="D32" i="8"/>
  <c r="E32" i="8"/>
  <c r="AN15" i="25"/>
  <c r="AN14" i="25"/>
  <c r="E24" i="25" l="1"/>
  <c r="F24" i="25" s="1"/>
  <c r="L23" i="1"/>
  <c r="I46" i="22"/>
  <c r="H139" i="24" l="1"/>
  <c r="M23" i="1"/>
  <c r="J148" i="24" l="1"/>
  <c r="J149" i="24" s="1"/>
  <c r="H125" i="24"/>
  <c r="E46" i="25"/>
  <c r="F46" i="25" s="1"/>
  <c r="G31" i="1"/>
  <c r="P139" i="24" l="1"/>
  <c r="I125" i="24"/>
  <c r="H31" i="1"/>
  <c r="P125" i="24" l="1"/>
  <c r="X21" i="19" l="1"/>
  <c r="Y21" i="19" s="1"/>
  <c r="AI7" i="19"/>
  <c r="AA6" i="19" s="1"/>
  <c r="X22" i="19"/>
  <c r="Y22" i="19" s="1"/>
  <c r="X25" i="19"/>
  <c r="Y25" i="19" s="1"/>
  <c r="X20" i="19"/>
  <c r="Y20" i="19" s="1"/>
  <c r="X23" i="19"/>
  <c r="Y23" i="19" s="1"/>
  <c r="X24" i="19"/>
  <c r="Y24" i="19" s="1"/>
  <c r="X27" i="19"/>
  <c r="Y27" i="19" s="1"/>
  <c r="X28" i="19"/>
  <c r="Y28" i="19" s="1"/>
  <c r="X26" i="19" l="1"/>
  <c r="Y26" i="19" s="1"/>
  <c r="I148" i="24" l="1"/>
  <c r="I128" i="24" s="1"/>
  <c r="I129" i="24" s="1"/>
  <c r="I149" i="24" s="1"/>
  <c r="I45" i="22" l="1"/>
  <c r="I51" i="22" s="1"/>
  <c r="H51" i="22"/>
  <c r="H76" i="22"/>
  <c r="N2" i="28" s="1"/>
  <c r="L22" i="1"/>
  <c r="E14" i="25" s="1"/>
  <c r="M22" i="1"/>
  <c r="L24" i="1"/>
  <c r="E15" i="25" s="1"/>
  <c r="F15" i="25" s="1"/>
  <c r="L33" i="1"/>
  <c r="I76" i="22" l="1"/>
  <c r="B40" i="27"/>
  <c r="B41" i="27" s="1"/>
  <c r="X22" i="1"/>
  <c r="F30" i="24"/>
  <c r="G59" i="24" s="1"/>
  <c r="F14" i="25"/>
  <c r="F22" i="25" s="1"/>
  <c r="F26" i="25" s="1"/>
  <c r="E28" i="25" s="1"/>
  <c r="E22" i="25"/>
  <c r="E26" i="25" s="1"/>
  <c r="E27" i="25" s="1"/>
  <c r="M24" i="1"/>
  <c r="H140" i="24"/>
  <c r="P140" i="24" s="1"/>
  <c r="M33" i="1"/>
  <c r="H138" i="24"/>
  <c r="F43" i="22"/>
  <c r="B22" i="8"/>
  <c r="X21" i="1"/>
  <c r="X23" i="1" s="1"/>
  <c r="C22" i="8" l="1"/>
  <c r="C37" i="8" s="1"/>
  <c r="C38" i="8" s="1"/>
  <c r="D22" i="8"/>
  <c r="D37" i="8" s="1"/>
  <c r="D38" i="8" s="1"/>
  <c r="E22" i="8"/>
  <c r="E37" i="8" s="1"/>
  <c r="E38" i="8" s="1"/>
  <c r="B37" i="8"/>
  <c r="B38" i="8" s="1"/>
  <c r="G62" i="24"/>
  <c r="G65" i="24" s="1"/>
  <c r="M89" i="24" s="1"/>
  <c r="M90" i="24" s="1"/>
  <c r="G131" i="1"/>
  <c r="G134" i="1" s="1"/>
  <c r="G137" i="1" s="1"/>
  <c r="H148" i="24"/>
  <c r="P138" i="24"/>
  <c r="L160" i="1" l="1"/>
  <c r="BD2" i="28"/>
  <c r="D31" i="8"/>
  <c r="D30" i="8"/>
  <c r="D54" i="8" s="1"/>
  <c r="B30" i="8"/>
  <c r="B54" i="8" s="1"/>
  <c r="B31" i="8"/>
  <c r="E31" i="8"/>
  <c r="E30" i="8"/>
  <c r="E54" i="8" s="1"/>
  <c r="C30" i="8"/>
  <c r="C54" i="8" s="1"/>
  <c r="C31" i="8"/>
  <c r="V2" i="7"/>
  <c r="E69" i="4"/>
  <c r="F14" i="24"/>
  <c r="M97" i="24"/>
  <c r="L165" i="1" s="1"/>
  <c r="N63" i="24"/>
  <c r="M135" i="1" s="1"/>
  <c r="C58" i="8" l="1"/>
  <c r="C56" i="8"/>
  <c r="C59" i="8" s="1"/>
  <c r="B58" i="8"/>
  <c r="B56" i="8"/>
  <c r="B59" i="8" s="1"/>
  <c r="E56" i="8"/>
  <c r="E59" i="8" s="1"/>
  <c r="E58" i="8"/>
  <c r="D56" i="8"/>
  <c r="D59" i="8" s="1"/>
  <c r="D58" i="8"/>
  <c r="G14" i="24"/>
  <c r="E33" i="25"/>
  <c r="G18" i="1"/>
  <c r="B14" i="24"/>
  <c r="H112" i="24"/>
  <c r="F28" i="24"/>
  <c r="D78" i="4"/>
  <c r="D81" i="4" s="1"/>
  <c r="E72" i="4"/>
  <c r="V7" i="7"/>
  <c r="V9" i="7" s="1"/>
  <c r="Y15" i="7" s="1"/>
  <c r="V11" i="7"/>
  <c r="X15" i="7"/>
  <c r="H126" i="24" l="1"/>
  <c r="P126" i="24" s="1"/>
  <c r="E47" i="25"/>
  <c r="F47" i="25" s="1"/>
  <c r="AA15" i="7"/>
  <c r="P112" i="24"/>
  <c r="H18" i="1"/>
  <c r="G32" i="1"/>
  <c r="H32" i="1" s="1"/>
  <c r="F33" i="25"/>
  <c r="B33" i="25"/>
  <c r="B18" i="1"/>
  <c r="B112" i="24"/>
  <c r="F29" i="24"/>
  <c r="X18" i="1" s="1"/>
  <c r="E48" i="25" l="1"/>
  <c r="H128" i="24"/>
  <c r="H129" i="24" s="1"/>
  <c r="F48" i="25"/>
  <c r="G33" i="1"/>
  <c r="H33" i="1" s="1"/>
  <c r="Z15" i="7"/>
  <c r="AC15" i="7" s="1"/>
  <c r="X16" i="7" s="1"/>
  <c r="AA16" i="7" s="1"/>
  <c r="E49" i="25"/>
  <c r="X17" i="1" l="1"/>
  <c r="X19" i="1" s="1"/>
  <c r="H149" i="24"/>
  <c r="Y16" i="7"/>
  <c r="Z16" i="7" s="1"/>
  <c r="AC16" i="7" s="1"/>
  <c r="X17" i="7" s="1"/>
  <c r="AB15" i="7"/>
  <c r="AA17" i="7" l="1"/>
  <c r="Y17" i="7"/>
  <c r="AB16" i="7"/>
  <c r="Z17" i="7" l="1"/>
  <c r="AC17" i="7" s="1"/>
  <c r="X18" i="7" s="1"/>
  <c r="Y18" i="7" s="1"/>
  <c r="AB17" i="7" l="1"/>
  <c r="AA18" i="7"/>
  <c r="Z18" i="7" s="1"/>
  <c r="AC18" i="7" s="1"/>
  <c r="X19" i="7" s="1"/>
  <c r="Y19" i="7" s="1"/>
  <c r="AB18" i="7" l="1"/>
  <c r="AA19" i="7"/>
  <c r="Z19" i="7" s="1"/>
  <c r="AC19" i="7" s="1"/>
  <c r="X20" i="7" s="1"/>
  <c r="Y20" i="7" s="1"/>
  <c r="AB19" i="7" l="1"/>
  <c r="AA20" i="7"/>
  <c r="Z20" i="7" s="1"/>
  <c r="AC20" i="7" l="1"/>
  <c r="X21" i="7" s="1"/>
  <c r="AB20" i="7"/>
  <c r="Y21" i="7" l="1"/>
  <c r="AA21" i="7"/>
  <c r="Z21" i="7" l="1"/>
  <c r="AC21" i="7" s="1"/>
  <c r="X22" i="7" s="1"/>
  <c r="AB21" i="7" l="1"/>
  <c r="Y22" i="7"/>
  <c r="AA22" i="7"/>
  <c r="Z22" i="7" l="1"/>
  <c r="AC22" i="7" l="1"/>
  <c r="X23" i="7" s="1"/>
  <c r="AB22" i="7"/>
  <c r="AA23" i="7" l="1"/>
  <c r="Y23" i="7"/>
  <c r="Z23" i="7" l="1"/>
  <c r="AC23" i="7" s="1"/>
  <c r="X24" i="7" s="1"/>
  <c r="AB23" i="7" l="1"/>
  <c r="Y24" i="7"/>
  <c r="AA24" i="7"/>
  <c r="Z24" i="7" l="1"/>
  <c r="AC24" i="7" l="1"/>
  <c r="X25" i="7" s="1"/>
  <c r="AB24" i="7"/>
  <c r="Y25" i="7" l="1"/>
  <c r="AA25" i="7"/>
  <c r="Z25" i="7" s="1"/>
  <c r="AC25" i="7" l="1"/>
  <c r="X26" i="7" s="1"/>
  <c r="AB25" i="7"/>
  <c r="Y26" i="7" l="1"/>
  <c r="AA26" i="7"/>
  <c r="Z26" i="7" l="1"/>
  <c r="AC26" i="7" s="1"/>
  <c r="X27" i="7" s="1"/>
  <c r="AB26" i="7" l="1"/>
  <c r="Y27" i="7"/>
  <c r="AA27" i="7"/>
  <c r="Z27" i="7" l="1"/>
  <c r="AC27" i="7" s="1"/>
  <c r="X28" i="7" s="1"/>
  <c r="AB27" i="7" l="1"/>
  <c r="Y28" i="7"/>
  <c r="AA28" i="7"/>
  <c r="Z28" i="7" l="1"/>
  <c r="AC28" i="7" l="1"/>
  <c r="X29" i="7" s="1"/>
  <c r="AB28" i="7"/>
  <c r="Y29" i="7" l="1"/>
  <c r="AA29" i="7"/>
  <c r="Z29" i="7" l="1"/>
  <c r="AC29" i="7" l="1"/>
  <c r="X30" i="7" s="1"/>
  <c r="AB29" i="7"/>
  <c r="Y30" i="7" l="1"/>
  <c r="AA30" i="7"/>
  <c r="Z30" i="7" l="1"/>
  <c r="AC30" i="7" s="1"/>
  <c r="X31" i="7" s="1"/>
  <c r="AB30" i="7" l="1"/>
  <c r="AA31" i="7"/>
  <c r="Y31" i="7"/>
  <c r="Z31" i="7" l="1"/>
  <c r="AB31" i="7" l="1"/>
  <c r="AC31" i="7"/>
  <c r="X32" i="7" s="1"/>
  <c r="AA32" i="7" l="1"/>
  <c r="Y32" i="7"/>
  <c r="Z32" i="7" l="1"/>
  <c r="AB32" i="7" s="1"/>
  <c r="AC32" i="7" l="1"/>
  <c r="X33" i="7" s="1"/>
  <c r="Y33" i="7" s="1"/>
  <c r="AA33" i="7" l="1"/>
  <c r="Z33" i="7" s="1"/>
  <c r="AB33" i="7" l="1"/>
  <c r="AC33" i="7"/>
  <c r="X34" i="7" s="1"/>
  <c r="Y34" i="7" s="1"/>
  <c r="AA34" i="7" l="1"/>
  <c r="Z34" i="7" s="1"/>
  <c r="AB34" i="7" l="1"/>
  <c r="AC34" i="7"/>
  <c r="X35" i="7" s="1"/>
  <c r="Y35" i="7" l="1"/>
  <c r="AA35" i="7"/>
  <c r="Z35" i="7" l="1"/>
  <c r="AB35" i="7" l="1"/>
  <c r="AC35" i="7"/>
  <c r="X36" i="7" s="1"/>
  <c r="Y36" i="7" l="1"/>
  <c r="AA36" i="7"/>
  <c r="Z36" i="7" l="1"/>
  <c r="AB36" i="7" l="1"/>
  <c r="AC36" i="7"/>
  <c r="X37" i="7" s="1"/>
  <c r="Y37" i="7" l="1"/>
  <c r="AA37" i="7"/>
  <c r="Z37" i="7" l="1"/>
  <c r="AC37" i="7" l="1"/>
  <c r="X38" i="7" s="1"/>
  <c r="AB37" i="7"/>
  <c r="Y38" i="7" l="1"/>
  <c r="AA38" i="7"/>
  <c r="Z38" i="7" l="1"/>
  <c r="AB38" i="7" l="1"/>
  <c r="AC38" i="7"/>
  <c r="X39" i="7" s="1"/>
  <c r="Y39" i="7" l="1"/>
  <c r="AA39" i="7"/>
  <c r="Z39" i="7" l="1"/>
  <c r="AB39" i="7" l="1"/>
  <c r="AC39" i="7"/>
  <c r="X40" i="7" s="1"/>
  <c r="Y40" i="7" l="1"/>
  <c r="AA40" i="7"/>
  <c r="Z40" i="7" l="1"/>
  <c r="AB40" i="7" l="1"/>
  <c r="AC40" i="7"/>
  <c r="X41" i="7" s="1"/>
  <c r="AA41" i="7" l="1"/>
  <c r="Y41" i="7"/>
  <c r="Z41" i="7" l="1"/>
  <c r="AC41" i="7" s="1"/>
  <c r="X42" i="7" s="1"/>
  <c r="AB41" i="7" l="1"/>
  <c r="Y42" i="7"/>
  <c r="AA42" i="7"/>
  <c r="Z42" i="7" l="1"/>
  <c r="AB42" i="7" l="1"/>
  <c r="AC42" i="7"/>
  <c r="X43" i="7" s="1"/>
  <c r="Y43" i="7" l="1"/>
  <c r="AA43" i="7"/>
  <c r="Z43" i="7" l="1"/>
  <c r="AB43" i="7" l="1"/>
  <c r="AC43" i="7"/>
  <c r="X44" i="7" s="1"/>
  <c r="Y44" i="7" l="1"/>
  <c r="AA44" i="7"/>
  <c r="Z44" i="7" l="1"/>
  <c r="AB44" i="7" l="1"/>
  <c r="AC44" i="7"/>
  <c r="X45" i="7" s="1"/>
  <c r="AA45" i="7" l="1"/>
  <c r="Y45" i="7"/>
  <c r="Z45" i="7" l="1"/>
  <c r="AB45" i="7" s="1"/>
  <c r="AC45" i="7"/>
  <c r="X46" i="7" s="1"/>
  <c r="Y46" i="7" l="1"/>
  <c r="AA46" i="7"/>
  <c r="Z46" i="7" l="1"/>
  <c r="AB46" i="7" l="1"/>
  <c r="AC46" i="7"/>
  <c r="X47" i="7" s="1"/>
  <c r="AA47" i="7" l="1"/>
  <c r="Y47" i="7"/>
  <c r="Z47" i="7" s="1"/>
  <c r="AB47" i="7" s="1"/>
  <c r="AC47" i="7" l="1"/>
  <c r="X48" i="7" s="1"/>
  <c r="Y48" i="7" s="1"/>
  <c r="AA48" i="7" l="1"/>
  <c r="Z48" i="7"/>
  <c r="AB48" i="7" l="1"/>
  <c r="AC48" i="7"/>
  <c r="X49" i="7" s="1"/>
  <c r="Y49" i="7" l="1"/>
  <c r="AA49" i="7"/>
  <c r="Z49" i="7" s="1"/>
  <c r="AB49" i="7" s="1"/>
  <c r="AC49" i="7" l="1"/>
  <c r="X50" i="7" s="1"/>
  <c r="Y50" i="7" s="1"/>
  <c r="AA50" i="7" l="1"/>
  <c r="Z50" i="7" s="1"/>
  <c r="AC50" i="7" l="1"/>
  <c r="X51" i="7" s="1"/>
  <c r="AB50" i="7"/>
  <c r="Y51" i="7" l="1"/>
  <c r="AA51" i="7"/>
  <c r="Z51" i="7" l="1"/>
  <c r="AB51" i="7" l="1"/>
  <c r="AC51" i="7"/>
  <c r="X52" i="7" s="1"/>
  <c r="AA52" i="7" l="1"/>
  <c r="Y52" i="7"/>
  <c r="Z52" i="7" l="1"/>
  <c r="AC52" i="7" s="1"/>
  <c r="X53" i="7" s="1"/>
  <c r="AB52" i="7" l="1"/>
  <c r="Y53" i="7"/>
  <c r="AA53" i="7"/>
  <c r="Z53" i="7" l="1"/>
  <c r="AB53" i="7" l="1"/>
  <c r="AC53" i="7"/>
  <c r="X54" i="7" s="1"/>
  <c r="Y54" i="7" l="1"/>
  <c r="AA54" i="7"/>
  <c r="Z54" i="7" l="1"/>
  <c r="AB54" i="7" l="1"/>
  <c r="AC54" i="7"/>
  <c r="X55" i="7" s="1"/>
  <c r="AA55" i="7" l="1"/>
  <c r="Y55" i="7"/>
  <c r="Z55" i="7" l="1"/>
  <c r="AB55" i="7" s="1"/>
  <c r="AC55" i="7" l="1"/>
  <c r="X56" i="7" s="1"/>
  <c r="AA56" i="7" s="1"/>
  <c r="Y56" i="7" l="1"/>
  <c r="Z56" i="7" s="1"/>
  <c r="AB56" i="7" s="1"/>
  <c r="AC56" i="7" l="1"/>
  <c r="X57" i="7" s="1"/>
  <c r="Y57" i="7" s="1"/>
  <c r="AA57" i="7" l="1"/>
  <c r="Z57" i="7" s="1"/>
  <c r="AC57" i="7" l="1"/>
  <c r="X58" i="7" s="1"/>
  <c r="AA58" i="7" s="1"/>
  <c r="AB57" i="7"/>
  <c r="Y58" i="7" l="1"/>
  <c r="Z58" i="7"/>
  <c r="AC58" i="7" s="1"/>
  <c r="X59" i="7" s="1"/>
  <c r="AB58" i="7" l="1"/>
  <c r="Y59" i="7"/>
  <c r="AA59" i="7"/>
  <c r="Z59" i="7" l="1"/>
  <c r="AB59" i="7" l="1"/>
  <c r="AC59" i="7"/>
  <c r="X60" i="7" s="1"/>
  <c r="Y60" i="7" l="1"/>
  <c r="AA60" i="7"/>
  <c r="Z60" i="7" l="1"/>
  <c r="AB60" i="7" l="1"/>
  <c r="AC60" i="7"/>
  <c r="X61" i="7" s="1"/>
  <c r="AA61" i="7" l="1"/>
  <c r="Y61" i="7"/>
  <c r="Z61" i="7" l="1"/>
  <c r="AC61" i="7" s="1"/>
  <c r="X62" i="7" s="1"/>
  <c r="AB61" i="7" l="1"/>
  <c r="Y62" i="7"/>
  <c r="AA62" i="7"/>
  <c r="Z62" i="7" l="1"/>
  <c r="AC62" i="7" l="1"/>
  <c r="X63" i="7" s="1"/>
  <c r="AB62" i="7"/>
  <c r="AA63" i="7" l="1"/>
  <c r="Y63" i="7"/>
  <c r="Z63" i="7" l="1"/>
  <c r="AB63" i="7" s="1"/>
  <c r="AC63" i="7" l="1"/>
  <c r="X64" i="7" s="1"/>
  <c r="Y64" i="7" s="1"/>
  <c r="AA64" i="7" l="1"/>
  <c r="Z64" i="7" s="1"/>
  <c r="AB64" i="7" l="1"/>
  <c r="AC64" i="7"/>
  <c r="X65" i="7" s="1"/>
  <c r="Y65" i="7" s="1"/>
  <c r="AA65" i="7" l="1"/>
  <c r="Z65" i="7"/>
  <c r="AB65" i="7" l="1"/>
  <c r="AC65" i="7"/>
  <c r="X66" i="7" s="1"/>
  <c r="Y66" i="7" l="1"/>
  <c r="AA66" i="7"/>
  <c r="Z66" i="7" l="1"/>
  <c r="AC66" i="7" l="1"/>
  <c r="X67" i="7" s="1"/>
  <c r="AB66" i="7"/>
  <c r="AA67" i="7" l="1"/>
  <c r="Y67" i="7"/>
  <c r="Z67" i="7" l="1"/>
  <c r="AB67" i="7" s="1"/>
  <c r="AC67" i="7" l="1"/>
  <c r="X68" i="7" s="1"/>
  <c r="Y68" i="7" s="1"/>
  <c r="AA68" i="7" l="1"/>
  <c r="Z68" i="7" s="1"/>
  <c r="AB68" i="7" s="1"/>
  <c r="AC68" i="7" l="1"/>
  <c r="X69" i="7" s="1"/>
  <c r="Y69" i="7" s="1"/>
  <c r="AA69" i="7" l="1"/>
  <c r="Z69" i="7" s="1"/>
  <c r="AC69" i="7" l="1"/>
  <c r="X70" i="7" s="1"/>
  <c r="AB69" i="7"/>
  <c r="Y70" i="7" l="1"/>
  <c r="AA70" i="7"/>
  <c r="Z70" i="7" l="1"/>
  <c r="AB70" i="7" l="1"/>
  <c r="AC70" i="7"/>
  <c r="X71" i="7" s="1"/>
  <c r="AA71" i="7" l="1"/>
  <c r="Y71" i="7"/>
  <c r="Z71" i="7" l="1"/>
  <c r="AB71" i="7" l="1"/>
  <c r="AC71" i="7"/>
  <c r="X72" i="7" s="1"/>
  <c r="Y72" i="7" l="1"/>
  <c r="AA72" i="7"/>
  <c r="Z72" i="7" l="1"/>
  <c r="AB72" i="7" l="1"/>
  <c r="AC72" i="7"/>
  <c r="X73" i="7" s="1"/>
  <c r="AA73" i="7" l="1"/>
  <c r="Y73" i="7"/>
  <c r="Z73" i="7" s="1"/>
  <c r="AB73" i="7" s="1"/>
  <c r="AC73" i="7" l="1"/>
  <c r="X74" i="7" s="1"/>
  <c r="Y74" i="7" s="1"/>
  <c r="AA74" i="7" l="1"/>
  <c r="Z74" i="7" s="1"/>
  <c r="AB74" i="7" s="1"/>
  <c r="AC74" i="7" l="1"/>
  <c r="X75" i="7" s="1"/>
  <c r="AA75" i="7" s="1"/>
  <c r="Y75" i="7" l="1"/>
  <c r="Z75" i="7" s="1"/>
  <c r="AB75" i="7" s="1"/>
  <c r="AC75" i="7" l="1"/>
  <c r="X76" i="7" s="1"/>
  <c r="Y76" i="7" s="1"/>
  <c r="AA76" i="7" l="1"/>
  <c r="Z76" i="7" s="1"/>
  <c r="AB76" i="7" s="1"/>
  <c r="AC76" i="7" l="1"/>
  <c r="X77" i="7" s="1"/>
  <c r="AA77" i="7" s="1"/>
  <c r="Y77" i="7" l="1"/>
  <c r="Z77" i="7" s="1"/>
  <c r="AB77" i="7" s="1"/>
  <c r="AC77" i="7" l="1"/>
  <c r="X78" i="7" s="1"/>
  <c r="AA78" i="7" l="1"/>
  <c r="Y78" i="7"/>
  <c r="Z78" i="7" l="1"/>
  <c r="AB78" i="7" l="1"/>
  <c r="AC78" i="7"/>
  <c r="X79" i="7" s="1"/>
  <c r="Y79" i="7" l="1"/>
  <c r="AA79" i="7"/>
  <c r="Z79" i="7" s="1"/>
  <c r="AB79" i="7" s="1"/>
  <c r="AC79" i="7" l="1"/>
  <c r="X80" i="7" s="1"/>
  <c r="Y80" i="7" s="1"/>
  <c r="AA80" i="7" l="1"/>
  <c r="Z80" i="7" s="1"/>
  <c r="AC80" i="7" l="1"/>
  <c r="X81" i="7" s="1"/>
  <c r="AB80" i="7"/>
  <c r="AA81" i="7" l="1"/>
  <c r="Y81" i="7"/>
  <c r="Z81" i="7" l="1"/>
  <c r="AB81" i="7" s="1"/>
  <c r="AC81" i="7" l="1"/>
  <c r="X82" i="7" s="1"/>
  <c r="Y82" i="7" s="1"/>
  <c r="AA82" i="7" l="1"/>
  <c r="Z82" i="7"/>
  <c r="AB82" i="7" l="1"/>
  <c r="AC82" i="7"/>
  <c r="X83" i="7" s="1"/>
  <c r="Y83" i="7" l="1"/>
  <c r="AA83" i="7"/>
  <c r="Z83" i="7" l="1"/>
  <c r="AB83" i="7" l="1"/>
  <c r="AC83" i="7"/>
  <c r="X84" i="7" s="1"/>
  <c r="Y84" i="7" l="1"/>
  <c r="AA84" i="7"/>
  <c r="Z84" i="7" l="1"/>
  <c r="AB84" i="7" l="1"/>
  <c r="AC84" i="7"/>
  <c r="X85" i="7" s="1"/>
  <c r="Y85" i="7" l="1"/>
  <c r="AA85" i="7"/>
  <c r="Z85" i="7" l="1"/>
  <c r="AB85" i="7" l="1"/>
  <c r="AC85" i="7"/>
  <c r="X86" i="7" s="1"/>
  <c r="Y86" i="7" l="1"/>
  <c r="AA86" i="7"/>
  <c r="Z86" i="7" l="1"/>
  <c r="AB86" i="7" l="1"/>
  <c r="AC86" i="7"/>
  <c r="X87" i="7" s="1"/>
  <c r="AA87" i="7" l="1"/>
  <c r="Y87" i="7"/>
  <c r="Z87" i="7" l="1"/>
  <c r="AB87" i="7"/>
  <c r="AC87" i="7"/>
  <c r="X88" i="7" s="1"/>
  <c r="AA88" i="7" l="1"/>
  <c r="Y88" i="7"/>
  <c r="Z88" i="7" l="1"/>
  <c r="AB88" i="7"/>
  <c r="AC88" i="7"/>
  <c r="X89" i="7" s="1"/>
  <c r="AA89" i="7" l="1"/>
  <c r="Y89" i="7"/>
  <c r="Z89" i="7" l="1"/>
  <c r="AB89" i="7" s="1"/>
  <c r="E45" i="4"/>
  <c r="E47" i="4" s="1"/>
  <c r="F45" i="4"/>
  <c r="F47" i="4" s="1"/>
  <c r="G45" i="4"/>
  <c r="G47" i="4" s="1"/>
  <c r="H45" i="4"/>
  <c r="H47" i="4" s="1"/>
  <c r="I45" i="4"/>
  <c r="I47" i="4" s="1"/>
  <c r="J45" i="4"/>
  <c r="J47" i="4" s="1"/>
  <c r="AC89" i="7" l="1"/>
  <c r="X90" i="7" s="1"/>
  <c r="AA90" i="7"/>
  <c r="Y90" i="7"/>
  <c r="J48" i="4"/>
  <c r="H46" i="5"/>
  <c r="J50" i="4"/>
  <c r="J56" i="4" s="1"/>
  <c r="J70" i="4" s="1"/>
  <c r="G46" i="5"/>
  <c r="I50" i="4"/>
  <c r="I56" i="4" s="1"/>
  <c r="I70" i="4" s="1"/>
  <c r="I48" i="4"/>
  <c r="H50" i="4"/>
  <c r="H56" i="4" s="1"/>
  <c r="H70" i="4" s="1"/>
  <c r="F46" i="5"/>
  <c r="H48" i="4"/>
  <c r="G48" i="4"/>
  <c r="G50" i="4"/>
  <c r="G56" i="4" s="1"/>
  <c r="G70" i="4" s="1"/>
  <c r="E46" i="5"/>
  <c r="F48" i="4"/>
  <c r="F50" i="4"/>
  <c r="F56" i="4" s="1"/>
  <c r="F70" i="4" s="1"/>
  <c r="D46" i="5"/>
  <c r="G11" i="5"/>
  <c r="C46" i="5"/>
  <c r="E50" i="4"/>
  <c r="E56" i="4" s="1"/>
  <c r="E70" i="4" s="1"/>
  <c r="E48" i="4"/>
  <c r="Z90" i="7" l="1"/>
  <c r="AC90" i="7" s="1"/>
  <c r="X91" i="7" s="1"/>
  <c r="H70" i="5"/>
  <c r="H71" i="5" s="1"/>
  <c r="H72" i="5" s="1"/>
  <c r="H58" i="5"/>
  <c r="H59" i="5" s="1"/>
  <c r="H60" i="5" s="1"/>
  <c r="H47" i="5"/>
  <c r="H48" i="5" s="1"/>
  <c r="C70" i="5"/>
  <c r="C71" i="5" s="1"/>
  <c r="C72" i="5" s="1"/>
  <c r="C58" i="5"/>
  <c r="C59" i="5" s="1"/>
  <c r="C60" i="5" s="1"/>
  <c r="C47" i="5"/>
  <c r="C48" i="5" s="1"/>
  <c r="G58" i="5"/>
  <c r="G59" i="5" s="1"/>
  <c r="G60" i="5" s="1"/>
  <c r="G47" i="5"/>
  <c r="G48" i="5" s="1"/>
  <c r="G70" i="5"/>
  <c r="G71" i="5" s="1"/>
  <c r="G72" i="5" s="1"/>
  <c r="D47" i="5"/>
  <c r="D48" i="5" s="1"/>
  <c r="D70" i="5"/>
  <c r="D71" i="5" s="1"/>
  <c r="D72" i="5" s="1"/>
  <c r="D58" i="5"/>
  <c r="D59" i="5" s="1"/>
  <c r="D60" i="5" s="1"/>
  <c r="G12" i="5"/>
  <c r="G13" i="5"/>
  <c r="F70" i="5"/>
  <c r="F71" i="5" s="1"/>
  <c r="F72" i="5" s="1"/>
  <c r="F58" i="5"/>
  <c r="F59" i="5" s="1"/>
  <c r="F60" i="5" s="1"/>
  <c r="F47" i="5"/>
  <c r="F48" i="5" s="1"/>
  <c r="E71" i="4"/>
  <c r="E70" i="5"/>
  <c r="E71" i="5" s="1"/>
  <c r="E72" i="5" s="1"/>
  <c r="E47" i="5"/>
  <c r="E48" i="5" s="1"/>
  <c r="E58" i="5"/>
  <c r="E59" i="5" s="1"/>
  <c r="E60" i="5" s="1"/>
  <c r="AB90" i="7" l="1"/>
  <c r="Y91" i="7"/>
  <c r="AA91" i="7"/>
  <c r="E59" i="4"/>
  <c r="E66" i="4" s="1"/>
  <c r="E76" i="4"/>
  <c r="E79" i="4"/>
  <c r="E81" i="4" s="1"/>
  <c r="E74" i="4"/>
  <c r="E75" i="4" s="1"/>
  <c r="F69" i="4" s="1"/>
  <c r="E73" i="4"/>
  <c r="G26" i="5"/>
  <c r="G27" i="5" s="1"/>
  <c r="G21" i="5"/>
  <c r="G31" i="5"/>
  <c r="F31" i="5" s="1"/>
  <c r="Z91" i="7" l="1"/>
  <c r="F72" i="4"/>
  <c r="F71" i="4" s="1"/>
  <c r="F21" i="5"/>
  <c r="G22" i="5"/>
  <c r="AB91" i="7" l="1"/>
  <c r="AC91" i="7"/>
  <c r="X92" i="7" s="1"/>
  <c r="F59" i="4"/>
  <c r="F66" i="4" s="1"/>
  <c r="F76" i="4"/>
  <c r="F74" i="4"/>
  <c r="F75" i="4" s="1"/>
  <c r="G69" i="4" s="1"/>
  <c r="G72" i="4" s="1"/>
  <c r="F79" i="4"/>
  <c r="F81" i="4" s="1"/>
  <c r="F73" i="4"/>
  <c r="AA92" i="7" l="1"/>
  <c r="Y92" i="7"/>
  <c r="G71" i="4"/>
  <c r="G73" i="4" s="1"/>
  <c r="Z92" i="7" l="1"/>
  <c r="AB92" i="7" s="1"/>
  <c r="G76" i="4"/>
  <c r="G79" i="4"/>
  <c r="G81" i="4" s="1"/>
  <c r="G59" i="4"/>
  <c r="G66" i="4" s="1"/>
  <c r="G74" i="4"/>
  <c r="G75" i="4" s="1"/>
  <c r="H69" i="4" s="1"/>
  <c r="H72" i="4" s="1"/>
  <c r="AC92" i="7" l="1"/>
  <c r="X93" i="7" s="1"/>
  <c r="AA93" i="7" s="1"/>
  <c r="H71" i="4"/>
  <c r="H73" i="4" s="1"/>
  <c r="Y93" i="7" l="1"/>
  <c r="Z93" i="7" s="1"/>
  <c r="AB93" i="7" s="1"/>
  <c r="AC93" i="7"/>
  <c r="X94" i="7" s="1"/>
  <c r="H76" i="4"/>
  <c r="H74" i="4"/>
  <c r="H75" i="4" s="1"/>
  <c r="I69" i="4" s="1"/>
  <c r="H59" i="4"/>
  <c r="H66" i="4" s="1"/>
  <c r="H79" i="4"/>
  <c r="H81" i="4" s="1"/>
  <c r="Y94" i="7" l="1"/>
  <c r="AA94" i="7"/>
  <c r="I72" i="4"/>
  <c r="I71" i="4" s="1"/>
  <c r="Z94" i="7" l="1"/>
  <c r="AB94" i="7" s="1"/>
  <c r="I59" i="4"/>
  <c r="I66" i="4" s="1"/>
  <c r="I79" i="4"/>
  <c r="I81" i="4" s="1"/>
  <c r="I74" i="4"/>
  <c r="I75" i="4" s="1"/>
  <c r="J69" i="4" s="1"/>
  <c r="J72" i="4" s="1"/>
  <c r="I76" i="4"/>
  <c r="I73" i="4"/>
  <c r="AC94" i="7" l="1"/>
  <c r="X95" i="7" s="1"/>
  <c r="AA95" i="7" s="1"/>
  <c r="J71" i="4"/>
  <c r="J73" i="4" s="1"/>
  <c r="Y95" i="7" l="1"/>
  <c r="Z95" i="7" s="1"/>
  <c r="AC95" i="7" s="1"/>
  <c r="X96" i="7" s="1"/>
  <c r="J59" i="4"/>
  <c r="J66" i="4" s="1"/>
  <c r="J79" i="4"/>
  <c r="J81" i="4" s="1"/>
  <c r="J74" i="4"/>
  <c r="J75" i="4" s="1"/>
  <c r="K69" i="4" s="1"/>
  <c r="K72" i="4" s="1"/>
  <c r="J76" i="4"/>
  <c r="AB95" i="7" l="1"/>
  <c r="Y96" i="7"/>
  <c r="AA96" i="7"/>
  <c r="Z96" i="7" l="1"/>
  <c r="AB96" i="7" l="1"/>
  <c r="AC96" i="7"/>
  <c r="X97" i="7" s="1"/>
  <c r="Y97" i="7" l="1"/>
  <c r="AA97" i="7"/>
  <c r="Z97" i="7" l="1"/>
  <c r="AB97" i="7" l="1"/>
  <c r="AC97" i="7"/>
  <c r="X98" i="7" s="1"/>
  <c r="AA98" i="7" l="1"/>
  <c r="Y98" i="7"/>
  <c r="Z98" i="7" l="1"/>
  <c r="AB98" i="7" s="1"/>
  <c r="AC98" i="7" l="1"/>
  <c r="X99" i="7" s="1"/>
  <c r="AA99" i="7" s="1"/>
  <c r="Y99" i="7" l="1"/>
  <c r="Z99" i="7"/>
  <c r="AB99" i="7" s="1"/>
  <c r="AC99" i="7" l="1"/>
  <c r="X100" i="7" s="1"/>
  <c r="Y100" i="7"/>
  <c r="AA100" i="7"/>
  <c r="Z100" i="7" l="1"/>
  <c r="AB100" i="7" l="1"/>
  <c r="AC100" i="7"/>
  <c r="X101" i="7" s="1"/>
  <c r="AA101" i="7" l="1"/>
  <c r="Y101" i="7"/>
  <c r="Z101" i="7" l="1"/>
  <c r="AB101" i="7" s="1"/>
  <c r="AC101" i="7" l="1"/>
  <c r="X102" i="7" s="1"/>
  <c r="AA102" i="7" s="1"/>
  <c r="Y102" i="7" l="1"/>
  <c r="Z102" i="7" s="1"/>
  <c r="AB102" i="7" s="1"/>
  <c r="AC102" i="7" l="1"/>
  <c r="X103" i="7" s="1"/>
  <c r="Y103" i="7" s="1"/>
  <c r="AA103" i="7" l="1"/>
  <c r="Z103" i="7" s="1"/>
  <c r="AB103" i="7" s="1"/>
  <c r="AC103" i="7" l="1"/>
  <c r="X104" i="7" s="1"/>
  <c r="Y104" i="7" s="1"/>
  <c r="AA104" i="7" l="1"/>
  <c r="Z104" i="7" s="1"/>
  <c r="AB104" i="7" l="1"/>
  <c r="AC104" i="7"/>
  <c r="X105" i="7" s="1"/>
  <c r="AA105" i="7" l="1"/>
  <c r="Y105" i="7"/>
  <c r="Z105" i="7" l="1"/>
  <c r="AB105" i="7" s="1"/>
  <c r="AC105" i="7" l="1"/>
  <c r="X106" i="7" s="1"/>
  <c r="AA106" i="7"/>
  <c r="Y106" i="7"/>
  <c r="Z106" i="7" l="1"/>
  <c r="AB106" i="7" s="1"/>
  <c r="AC106" i="7"/>
  <c r="X107" i="7" s="1"/>
  <c r="Y107" i="7" l="1"/>
  <c r="AA107" i="7"/>
  <c r="Z107" i="7" l="1"/>
  <c r="AB107" i="7" l="1"/>
  <c r="AC107" i="7"/>
  <c r="X108" i="7" s="1"/>
  <c r="AA108" i="7" l="1"/>
  <c r="Y108" i="7"/>
  <c r="Z108" i="7" l="1"/>
  <c r="AB108" i="7" s="1"/>
  <c r="AC108" i="7" l="1"/>
  <c r="X109" i="7" s="1"/>
  <c r="Y109" i="7"/>
  <c r="AA109" i="7"/>
  <c r="Z109" i="7" l="1"/>
  <c r="AB109" i="7" l="1"/>
  <c r="AC109" i="7"/>
  <c r="X110" i="7" s="1"/>
  <c r="Y110" i="7" l="1"/>
  <c r="AA110" i="7"/>
  <c r="Z110" i="7" l="1"/>
  <c r="AB110" i="7" l="1"/>
  <c r="AC110" i="7"/>
  <c r="X111" i="7" s="1"/>
  <c r="AA111" i="7" l="1"/>
  <c r="Y111" i="7"/>
  <c r="Z111" i="7" l="1"/>
  <c r="AB111" i="7" s="1"/>
  <c r="AC111" i="7" l="1"/>
  <c r="X112" i="7" s="1"/>
  <c r="AA112" i="7" s="1"/>
  <c r="Y112" i="7" l="1"/>
  <c r="Z112" i="7" s="1"/>
  <c r="AB112" i="7" s="1"/>
  <c r="AC112" i="7" l="1"/>
  <c r="X113" i="7" s="1"/>
  <c r="AA113" i="7" s="1"/>
  <c r="Y113" i="7" l="1"/>
  <c r="Z113" i="7" s="1"/>
  <c r="AB113" i="7" s="1"/>
  <c r="AC113" i="7" l="1"/>
  <c r="X114" i="7" s="1"/>
  <c r="AA114" i="7" s="1"/>
  <c r="Y114" i="7" l="1"/>
  <c r="Z114" i="7" s="1"/>
  <c r="AB114" i="7" s="1"/>
  <c r="AC114" i="7"/>
  <c r="X115" i="7" s="1"/>
  <c r="AA115" i="7" l="1"/>
  <c r="Y115" i="7"/>
  <c r="Z115" i="7" l="1"/>
  <c r="AB115" i="7" s="1"/>
  <c r="AC115" i="7" l="1"/>
  <c r="X116" i="7" s="1"/>
  <c r="AA116" i="7" s="1"/>
  <c r="Y116" i="7" l="1"/>
  <c r="Z116" i="7" s="1"/>
  <c r="AB116" i="7" s="1"/>
  <c r="AC116" i="7" l="1"/>
  <c r="X117" i="7" s="1"/>
  <c r="AA117" i="7" s="1"/>
  <c r="Y117" i="7" l="1"/>
  <c r="Z117" i="7" s="1"/>
  <c r="AB117" i="7" l="1"/>
  <c r="AC117" i="7"/>
  <c r="X118" i="7" s="1"/>
  <c r="AA118" i="7" s="1"/>
  <c r="Y118" i="7"/>
  <c r="Z118" i="7" l="1"/>
  <c r="AB118" i="7" s="1"/>
  <c r="AC118" i="7"/>
  <c r="X119" i="7" s="1"/>
  <c r="AA119" i="7" l="1"/>
  <c r="Y119" i="7"/>
  <c r="Z119" i="7" l="1"/>
  <c r="AB119" i="7" s="1"/>
  <c r="AC119" i="7" l="1"/>
  <c r="X120" i="7" s="1"/>
  <c r="Y120" i="7" s="1"/>
  <c r="AA120" i="7" l="1"/>
  <c r="Z120" i="7" s="1"/>
  <c r="AB120" i="7" s="1"/>
  <c r="AC120" i="7" l="1"/>
  <c r="X121" i="7" s="1"/>
  <c r="AA121" i="7"/>
  <c r="Y121" i="7"/>
  <c r="Z121" i="7" l="1"/>
  <c r="AB121" i="7"/>
  <c r="AC121" i="7"/>
  <c r="X122" i="7" s="1"/>
  <c r="Y122" i="7" s="1"/>
  <c r="AA122" i="7" l="1"/>
  <c r="Z122" i="7" s="1"/>
  <c r="AB122" i="7" s="1"/>
  <c r="AC122" i="7" l="1"/>
  <c r="X123" i="7" s="1"/>
  <c r="AA123" i="7" s="1"/>
  <c r="Y123" i="7" l="1"/>
  <c r="Z123" i="7" s="1"/>
  <c r="AB123" i="7" s="1"/>
  <c r="AC123" i="7" l="1"/>
  <c r="X124" i="7" s="1"/>
  <c r="Y124" i="7" s="1"/>
  <c r="AA124" i="7" l="1"/>
  <c r="Z124" i="7" s="1"/>
  <c r="AB124" i="7" l="1"/>
  <c r="AC124" i="7"/>
  <c r="X125" i="7" s="1"/>
  <c r="Y125" i="7" l="1"/>
  <c r="AA125" i="7"/>
  <c r="Z125" i="7" l="1"/>
  <c r="AB125" i="7" l="1"/>
  <c r="AC125" i="7"/>
  <c r="X126" i="7" s="1"/>
  <c r="Y126" i="7" l="1"/>
  <c r="AA126" i="7"/>
  <c r="Z126" i="7" l="1"/>
  <c r="AB126" i="7" l="1"/>
  <c r="AC126" i="7"/>
  <c r="X127" i="7" s="1"/>
  <c r="Y127" i="7" l="1"/>
  <c r="AA127" i="7"/>
  <c r="Z127" i="7" l="1"/>
  <c r="AB127" i="7" l="1"/>
  <c r="AC127" i="7"/>
  <c r="X128" i="7" s="1"/>
  <c r="Y128" i="7" l="1"/>
  <c r="AA128" i="7"/>
  <c r="Z128" i="7" l="1"/>
  <c r="AB128" i="7" l="1"/>
  <c r="AC128" i="7"/>
  <c r="X129" i="7" s="1"/>
  <c r="Y129" i="7" l="1"/>
  <c r="AA129" i="7"/>
  <c r="Z129" i="7" l="1"/>
  <c r="AB129" i="7" l="1"/>
  <c r="AC129" i="7"/>
  <c r="X130" i="7" s="1"/>
  <c r="AA130" i="7" l="1"/>
  <c r="Y130" i="7"/>
  <c r="Z130" i="7" l="1"/>
  <c r="AB130" i="7" s="1"/>
  <c r="AC130" i="7" l="1"/>
  <c r="X131" i="7" s="1"/>
  <c r="AA131" i="7" s="1"/>
  <c r="Y131" i="7" l="1"/>
  <c r="Z131" i="7"/>
  <c r="AB131" i="7" s="1"/>
  <c r="AC131" i="7" l="1"/>
  <c r="X132" i="7" s="1"/>
  <c r="Y132" i="7" s="1"/>
  <c r="AA132" i="7" l="1"/>
  <c r="Z132" i="7" s="1"/>
  <c r="AB132" i="7" l="1"/>
  <c r="AC132" i="7"/>
  <c r="X133" i="7" s="1"/>
  <c r="AA133" i="7" l="1"/>
  <c r="Y133" i="7"/>
  <c r="Z133" i="7" l="1"/>
  <c r="AB133" i="7" s="1"/>
  <c r="AC133" i="7" l="1"/>
  <c r="X134" i="7" s="1"/>
  <c r="Y134" i="7" s="1"/>
  <c r="AA134" i="7" l="1"/>
  <c r="Z134" i="7" s="1"/>
  <c r="AC134" i="7" l="1"/>
  <c r="X135" i="7" s="1"/>
  <c r="AB134" i="7"/>
  <c r="AA135" i="7" l="1"/>
  <c r="Y135" i="7"/>
  <c r="Z135" i="7" l="1"/>
  <c r="AB135" i="7" s="1"/>
  <c r="AC135" i="7" l="1"/>
  <c r="X136" i="7" s="1"/>
  <c r="AA136" i="7" s="1"/>
  <c r="Y136" i="7"/>
  <c r="Z136" i="7" l="1"/>
  <c r="AB136" i="7" s="1"/>
  <c r="AC136" i="7" l="1"/>
  <c r="X137" i="7" s="1"/>
  <c r="AA137" i="7"/>
  <c r="Y137" i="7"/>
  <c r="Z137" i="7" l="1"/>
  <c r="AC137" i="7"/>
  <c r="X138" i="7" s="1"/>
  <c r="AB137" i="7"/>
  <c r="AA138" i="7" l="1"/>
  <c r="Y138" i="7"/>
  <c r="Z138" i="7" s="1"/>
  <c r="AB138" i="7" l="1"/>
  <c r="AC138" i="7"/>
  <c r="X139" i="7" s="1"/>
  <c r="Y139" i="7" l="1"/>
  <c r="AA139" i="7"/>
  <c r="Z139" i="7" l="1"/>
  <c r="AC139" i="7" l="1"/>
  <c r="X140" i="7" s="1"/>
  <c r="AB139" i="7"/>
  <c r="AA140" i="7" l="1"/>
  <c r="Y140" i="7"/>
  <c r="Z140" i="7" l="1"/>
  <c r="AB140" i="7" s="1"/>
  <c r="AC140" i="7"/>
  <c r="X141" i="7" s="1"/>
  <c r="Y141" i="7" s="1"/>
  <c r="AA141" i="7" l="1"/>
  <c r="Z141" i="7"/>
  <c r="AB141" i="7" l="1"/>
  <c r="AC141" i="7"/>
  <c r="X142" i="7" s="1"/>
  <c r="AA142" i="7" l="1"/>
  <c r="Y142" i="7"/>
  <c r="Z142" i="7" l="1"/>
  <c r="AB142" i="7" s="1"/>
  <c r="AC142" i="7" l="1"/>
  <c r="X143" i="7" s="1"/>
  <c r="Y143" i="7"/>
  <c r="AA143" i="7"/>
  <c r="Z143" i="7" s="1"/>
  <c r="AB143" i="7" s="1"/>
  <c r="AC143" i="7" l="1"/>
  <c r="X144" i="7" s="1"/>
  <c r="AA144" i="7" l="1"/>
  <c r="Y144" i="7"/>
  <c r="Z144" i="7" l="1"/>
  <c r="AB144" i="7" s="1"/>
  <c r="AC144" i="7"/>
  <c r="X145" i="7" s="1"/>
  <c r="Y145" i="7" l="1"/>
  <c r="AA145" i="7"/>
  <c r="Z145" i="7" l="1"/>
  <c r="AB145" i="7" l="1"/>
  <c r="AC145" i="7"/>
  <c r="X146" i="7" s="1"/>
  <c r="AA146" i="7" l="1"/>
  <c r="Y146" i="7"/>
  <c r="Z146" i="7" l="1"/>
  <c r="AB146" i="7" s="1"/>
  <c r="AC146" i="7" l="1"/>
  <c r="X147" i="7" s="1"/>
  <c r="AA147" i="7" s="1"/>
  <c r="Y147" i="7" l="1"/>
  <c r="Z147" i="7"/>
  <c r="AB147" i="7" s="1"/>
  <c r="AC147" i="7" l="1"/>
  <c r="X148" i="7" s="1"/>
  <c r="Y148" i="7"/>
  <c r="AA148" i="7"/>
  <c r="Z148" i="7" l="1"/>
  <c r="AB148" i="7" l="1"/>
  <c r="AC148" i="7"/>
  <c r="X149" i="7" s="1"/>
  <c r="AA149" i="7" l="1"/>
  <c r="Y149" i="7"/>
  <c r="Z149" i="7" s="1"/>
  <c r="AB149" i="7" s="1"/>
  <c r="AC149" i="7" l="1"/>
  <c r="X150" i="7" s="1"/>
  <c r="Y150" i="7" l="1"/>
  <c r="AA150" i="7"/>
  <c r="Z150" i="7" l="1"/>
  <c r="AB150" i="7" s="1"/>
  <c r="AC150" i="7" l="1"/>
  <c r="X151" i="7" s="1"/>
  <c r="AA151" i="7" s="1"/>
  <c r="Y151" i="7" l="1"/>
  <c r="Z151" i="7" s="1"/>
  <c r="AB151" i="7" s="1"/>
  <c r="AC151" i="7" l="1"/>
  <c r="X152" i="7" s="1"/>
  <c r="AA152" i="7"/>
  <c r="Y152" i="7"/>
  <c r="Z152" i="7" l="1"/>
  <c r="AB152" i="7" s="1"/>
  <c r="AC152" i="7"/>
  <c r="X153" i="7" s="1"/>
  <c r="Y153" i="7" l="1"/>
  <c r="AA153" i="7"/>
  <c r="Z153" i="7" l="1"/>
  <c r="AB153" i="7" l="1"/>
  <c r="AC153" i="7"/>
  <c r="X154" i="7" s="1"/>
  <c r="Y154" i="7" l="1"/>
  <c r="AA154" i="7"/>
  <c r="Z154" i="7" l="1"/>
  <c r="AB154" i="7" l="1"/>
  <c r="AC154" i="7"/>
  <c r="X155" i="7" s="1"/>
  <c r="AA155" i="7" l="1"/>
  <c r="Y155" i="7"/>
  <c r="Z155" i="7" l="1"/>
  <c r="AB155" i="7" s="1"/>
  <c r="AC155" i="7"/>
  <c r="X156" i="7" s="1"/>
  <c r="AA156" i="7" l="1"/>
  <c r="Y156" i="7"/>
  <c r="Z156" i="7" l="1"/>
  <c r="AB156" i="7" s="1"/>
  <c r="AC156" i="7" l="1"/>
  <c r="X157" i="7" s="1"/>
  <c r="AA157" i="7" s="1"/>
  <c r="Y157" i="7" l="1"/>
  <c r="Z157" i="7" s="1"/>
  <c r="AB157" i="7" l="1"/>
  <c r="AC157" i="7"/>
  <c r="X158" i="7" s="1"/>
  <c r="AA158" i="7" l="1"/>
  <c r="Y158" i="7"/>
  <c r="Z158" i="7" l="1"/>
  <c r="AB158" i="7" s="1"/>
  <c r="AC158" i="7"/>
  <c r="X159" i="7" s="1"/>
  <c r="AA159" i="7" l="1"/>
  <c r="Y159" i="7"/>
  <c r="Z159" i="7" l="1"/>
  <c r="AB159" i="7" s="1"/>
  <c r="AC159" i="7" l="1"/>
  <c r="X160" i="7" s="1"/>
  <c r="Y160" i="7"/>
  <c r="AA160" i="7"/>
  <c r="Z160" i="7" l="1"/>
  <c r="AB160" i="7" l="1"/>
  <c r="AC160" i="7"/>
  <c r="X161" i="7" s="1"/>
  <c r="Y161" i="7" l="1"/>
  <c r="AA161" i="7"/>
  <c r="Z161" i="7" l="1"/>
  <c r="AB161" i="7" l="1"/>
  <c r="AC161" i="7"/>
  <c r="X162" i="7" s="1"/>
  <c r="AA162" i="7" l="1"/>
  <c r="Y162" i="7"/>
  <c r="Z162" i="7" s="1"/>
  <c r="AB162" i="7" s="1"/>
  <c r="AC162" i="7" l="1"/>
  <c r="X163" i="7" s="1"/>
  <c r="AA163" i="7" l="1"/>
  <c r="Y163" i="7"/>
  <c r="Z163" i="7" l="1"/>
  <c r="AB163" i="7" s="1"/>
  <c r="AC163" i="7"/>
  <c r="X164" i="7" s="1"/>
  <c r="Y164" i="7" l="1"/>
  <c r="AA164" i="7"/>
  <c r="Z164" i="7" l="1"/>
  <c r="AB164" i="7" l="1"/>
  <c r="AC164" i="7"/>
  <c r="X165" i="7" s="1"/>
  <c r="AA165" i="7" l="1"/>
  <c r="Y165" i="7"/>
  <c r="Z165" i="7" l="1"/>
  <c r="AB165" i="7" s="1"/>
  <c r="AC165" i="7"/>
  <c r="X166" i="7" s="1"/>
  <c r="Y166" i="7" l="1"/>
  <c r="AA166" i="7"/>
  <c r="Z166" i="7" l="1"/>
  <c r="AB166" i="7" l="1"/>
  <c r="AC166" i="7"/>
  <c r="X167" i="7" s="1"/>
  <c r="AA167" i="7" l="1"/>
  <c r="Y167" i="7"/>
  <c r="Z167" i="7" s="1"/>
  <c r="AB167" i="7" s="1"/>
  <c r="AC167" i="7" l="1"/>
  <c r="X168" i="7" s="1"/>
  <c r="AA168" i="7" l="1"/>
  <c r="Y168" i="7"/>
  <c r="Z168" i="7" l="1"/>
  <c r="AB168" i="7" s="1"/>
  <c r="AC168" i="7"/>
  <c r="X169" i="7" s="1"/>
  <c r="AA169" i="7" l="1"/>
  <c r="Y169" i="7"/>
  <c r="Z169" i="7" s="1"/>
  <c r="AB169" i="7" s="1"/>
  <c r="AC169" i="7" l="1"/>
  <c r="X170" i="7" s="1"/>
  <c r="Y170" i="7" l="1"/>
  <c r="AA170" i="7"/>
  <c r="Z170" i="7" l="1"/>
  <c r="AB170" i="7" l="1"/>
  <c r="AC170" i="7"/>
  <c r="X171" i="7" s="1"/>
  <c r="AA171" i="7" l="1"/>
  <c r="Y171" i="7"/>
  <c r="Z171" i="7" l="1"/>
  <c r="AC171" i="7"/>
  <c r="X172" i="7" s="1"/>
  <c r="AB171" i="7"/>
  <c r="Y172" i="7" l="1"/>
  <c r="AA172" i="7"/>
  <c r="Z172" i="7" l="1"/>
  <c r="AB172" i="7" l="1"/>
  <c r="AC172" i="7"/>
  <c r="X173" i="7" s="1"/>
  <c r="Y173" i="7" l="1"/>
  <c r="AA173" i="7"/>
  <c r="Z173" i="7" l="1"/>
  <c r="AB173" i="7" l="1"/>
  <c r="AC173" i="7"/>
  <c r="X174" i="7" s="1"/>
  <c r="Y174" i="7" l="1"/>
  <c r="AA174" i="7"/>
  <c r="Z174" i="7" s="1"/>
  <c r="AB174" i="7" s="1"/>
  <c r="AC174" i="7" l="1"/>
  <c r="X175" i="7" s="1"/>
  <c r="AA175" i="7" l="1"/>
  <c r="Y175" i="7"/>
  <c r="Z175" i="7" l="1"/>
  <c r="AB175" i="7" s="1"/>
  <c r="AC175" i="7"/>
  <c r="X176" i="7" s="1"/>
  <c r="AA176" i="7" l="1"/>
  <c r="Y176" i="7"/>
  <c r="Z176" i="7" s="1"/>
  <c r="AB176" i="7" s="1"/>
  <c r="AC176" i="7" l="1"/>
  <c r="X177" i="7" s="1"/>
  <c r="AA177" i="7" l="1"/>
  <c r="Y177" i="7"/>
  <c r="Z177" i="7" l="1"/>
  <c r="AB177" i="7" s="1"/>
  <c r="AC177" i="7" l="1"/>
  <c r="X178" i="7" s="1"/>
  <c r="AA178" i="7" s="1"/>
  <c r="Y178" i="7" l="1"/>
  <c r="Z178" i="7" s="1"/>
  <c r="AB178" i="7" s="1"/>
  <c r="AC178" i="7" l="1"/>
  <c r="X179" i="7" s="1"/>
  <c r="Y179" i="7" s="1"/>
  <c r="AA179" i="7" l="1"/>
  <c r="Z179" i="7" s="1"/>
  <c r="AB179" i="7" l="1"/>
  <c r="AC179" i="7"/>
  <c r="X180" i="7" s="1"/>
  <c r="Y180" i="7" l="1"/>
  <c r="AA180" i="7"/>
  <c r="Z180" i="7" l="1"/>
  <c r="AB180" i="7" l="1"/>
  <c r="AC180" i="7"/>
  <c r="X181" i="7" s="1"/>
  <c r="Y181" i="7" l="1"/>
  <c r="AA181" i="7"/>
  <c r="Z181" i="7" l="1"/>
  <c r="AB181" i="7" l="1"/>
  <c r="AC181" i="7"/>
  <c r="X182" i="7" s="1"/>
  <c r="AA182" i="7" l="1"/>
  <c r="Y182" i="7"/>
  <c r="Z182" i="7" l="1"/>
  <c r="AB182" i="7" s="1"/>
  <c r="AC182" i="7" l="1"/>
  <c r="X183" i="7" s="1"/>
  <c r="Y183" i="7" s="1"/>
  <c r="AA183" i="7" l="1"/>
  <c r="Z183" i="7" s="1"/>
  <c r="AB183" i="7" l="1"/>
  <c r="AC183" i="7"/>
  <c r="X184" i="7" s="1"/>
  <c r="Y184" i="7" l="1"/>
  <c r="AA184" i="7"/>
  <c r="Z184" i="7" l="1"/>
  <c r="AB184" i="7" l="1"/>
  <c r="AC184" i="7"/>
  <c r="X185" i="7" s="1"/>
  <c r="AA185" i="7" l="1"/>
  <c r="Y185" i="7"/>
  <c r="Z185" i="7" l="1"/>
  <c r="AB185" i="7" s="1"/>
  <c r="AC185" i="7" l="1"/>
  <c r="X186" i="7" s="1"/>
  <c r="AA186" i="7"/>
  <c r="Y186" i="7"/>
  <c r="Z186" i="7" l="1"/>
  <c r="AB186" i="7" s="1"/>
  <c r="AC186" i="7" l="1"/>
  <c r="X187" i="7" s="1"/>
  <c r="Y187" i="7"/>
  <c r="AA187" i="7"/>
  <c r="Z187" i="7" l="1"/>
  <c r="AB187" i="7" l="1"/>
  <c r="AC187" i="7"/>
  <c r="X188" i="7" s="1"/>
  <c r="Y188" i="7" l="1"/>
  <c r="AA188" i="7"/>
  <c r="Z188" i="7" l="1"/>
  <c r="AB188" i="7" l="1"/>
  <c r="AC188" i="7"/>
  <c r="X189" i="7" s="1"/>
  <c r="Y189" i="7" l="1"/>
  <c r="AA189" i="7"/>
  <c r="Z189" i="7" l="1"/>
  <c r="AB189" i="7" l="1"/>
  <c r="AC189" i="7"/>
  <c r="X190" i="7" s="1"/>
  <c r="Y190" i="7" l="1"/>
  <c r="AA190" i="7"/>
  <c r="Z190" i="7" l="1"/>
  <c r="AB190" i="7" l="1"/>
  <c r="AC190" i="7"/>
  <c r="X191" i="7" s="1"/>
  <c r="Y191" i="7" l="1"/>
  <c r="AA191" i="7"/>
  <c r="Z191" i="7" l="1"/>
  <c r="AB191" i="7" l="1"/>
  <c r="AC191" i="7"/>
  <c r="X192" i="7" s="1"/>
  <c r="Y192" i="7" l="1"/>
  <c r="AA192" i="7"/>
  <c r="Z192" i="7" l="1"/>
  <c r="AB192" i="7" l="1"/>
  <c r="AC192" i="7"/>
  <c r="X193" i="7" s="1"/>
  <c r="Y193" i="7" l="1"/>
  <c r="AA193" i="7"/>
  <c r="Z193" i="7" l="1"/>
  <c r="AB193" i="7" l="1"/>
  <c r="AC193" i="7"/>
  <c r="X194" i="7" s="1"/>
  <c r="AA194" i="7" l="1"/>
  <c r="Y194" i="7"/>
  <c r="Z194" i="7" s="1"/>
  <c r="AB194" i="7" s="1"/>
  <c r="K45" i="4" l="1"/>
  <c r="K47" i="4" s="1"/>
  <c r="L45" i="4"/>
  <c r="L47" i="4" s="1"/>
  <c r="M45" i="4"/>
  <c r="M47" i="4" s="1"/>
  <c r="N45" i="4"/>
  <c r="N47" i="4" s="1"/>
  <c r="O45" i="4"/>
  <c r="O47" i="4" s="1"/>
  <c r="P45" i="4"/>
  <c r="P47" i="4" s="1"/>
  <c r="Q45" i="4"/>
  <c r="Q47" i="4" s="1"/>
  <c r="R45" i="4"/>
  <c r="R47" i="4" s="1"/>
  <c r="S45" i="4"/>
  <c r="S47" i="4" s="1"/>
  <c r="AC194" i="7"/>
  <c r="F23" i="11" s="1"/>
  <c r="R50" i="4" l="1"/>
  <c r="R56" i="4" s="1"/>
  <c r="R70" i="4" s="1"/>
  <c r="P46" i="5"/>
  <c r="R48" i="4"/>
  <c r="O46" i="5"/>
  <c r="Q50" i="4"/>
  <c r="Q56" i="4" s="1"/>
  <c r="Q70" i="4" s="1"/>
  <c r="Q48" i="4"/>
  <c r="P48" i="4"/>
  <c r="N46" i="5"/>
  <c r="P50" i="4"/>
  <c r="P56" i="4" s="1"/>
  <c r="P70" i="4" s="1"/>
  <c r="M46" i="5"/>
  <c r="O48" i="4"/>
  <c r="O50" i="4"/>
  <c r="O56" i="4" s="1"/>
  <c r="O70" i="4" s="1"/>
  <c r="N48" i="4"/>
  <c r="N50" i="4"/>
  <c r="N56" i="4" s="1"/>
  <c r="N70" i="4" s="1"/>
  <c r="L46" i="5"/>
  <c r="M48" i="4"/>
  <c r="K46" i="5"/>
  <c r="M50" i="4"/>
  <c r="M56" i="4" s="1"/>
  <c r="M70" i="4" s="1"/>
  <c r="L50" i="4"/>
  <c r="L56" i="4" s="1"/>
  <c r="L70" i="4" s="1"/>
  <c r="L48" i="4"/>
  <c r="J46" i="5"/>
  <c r="S50" i="4"/>
  <c r="S56" i="4" s="1"/>
  <c r="S70" i="4" s="1"/>
  <c r="Q46" i="5"/>
  <c r="I11" i="5"/>
  <c r="S48" i="4"/>
  <c r="K48" i="4"/>
  <c r="I46" i="5"/>
  <c r="K50" i="4"/>
  <c r="K56" i="4" s="1"/>
  <c r="K70" i="4" s="1"/>
  <c r="N59" i="24" l="1"/>
  <c r="K71" i="4"/>
  <c r="I70" i="5"/>
  <c r="I71" i="5" s="1"/>
  <c r="I72" i="5" s="1"/>
  <c r="I47" i="5"/>
  <c r="I48" i="5" s="1"/>
  <c r="I58" i="5"/>
  <c r="I59" i="5" s="1"/>
  <c r="I60" i="5" s="1"/>
  <c r="L70" i="5"/>
  <c r="L71" i="5" s="1"/>
  <c r="L72" i="5" s="1"/>
  <c r="L47" i="5"/>
  <c r="L48" i="5" s="1"/>
  <c r="L58" i="5"/>
  <c r="L59" i="5" s="1"/>
  <c r="L60" i="5" s="1"/>
  <c r="N47" i="5"/>
  <c r="N48" i="5" s="1"/>
  <c r="N70" i="5"/>
  <c r="N71" i="5" s="1"/>
  <c r="N72" i="5" s="1"/>
  <c r="N58" i="5"/>
  <c r="N59" i="5" s="1"/>
  <c r="N60" i="5" s="1"/>
  <c r="I12" i="5"/>
  <c r="I13" i="5"/>
  <c r="Q70" i="5"/>
  <c r="Q71" i="5" s="1"/>
  <c r="Q72" i="5" s="1"/>
  <c r="Q58" i="5"/>
  <c r="Q59" i="5" s="1"/>
  <c r="Q60" i="5" s="1"/>
  <c r="Q47" i="5"/>
  <c r="Q48" i="5" s="1"/>
  <c r="O47" i="5"/>
  <c r="O48" i="5" s="1"/>
  <c r="O70" i="5"/>
  <c r="O71" i="5" s="1"/>
  <c r="O72" i="5" s="1"/>
  <c r="O58" i="5"/>
  <c r="O59" i="5" s="1"/>
  <c r="O60" i="5" s="1"/>
  <c r="M58" i="5"/>
  <c r="M59" i="5" s="1"/>
  <c r="M60" i="5" s="1"/>
  <c r="M47" i="5"/>
  <c r="M48" i="5" s="1"/>
  <c r="M70" i="5"/>
  <c r="M71" i="5" s="1"/>
  <c r="M72" i="5" s="1"/>
  <c r="J47" i="5"/>
  <c r="J48" i="5" s="1"/>
  <c r="J58" i="5"/>
  <c r="J59" i="5" s="1"/>
  <c r="J60" i="5" s="1"/>
  <c r="J70" i="5"/>
  <c r="J71" i="5" s="1"/>
  <c r="J72" i="5" s="1"/>
  <c r="P70" i="5"/>
  <c r="P71" i="5" s="1"/>
  <c r="P72" i="5" s="1"/>
  <c r="P47" i="5"/>
  <c r="P48" i="5" s="1"/>
  <c r="P58" i="5"/>
  <c r="P59" i="5" s="1"/>
  <c r="P60" i="5" s="1"/>
  <c r="K58" i="5"/>
  <c r="K59" i="5" s="1"/>
  <c r="K60" i="5" s="1"/>
  <c r="K47" i="5"/>
  <c r="K48" i="5" s="1"/>
  <c r="K70" i="5"/>
  <c r="K71" i="5" s="1"/>
  <c r="K72" i="5" s="1"/>
  <c r="I26" i="5" l="1"/>
  <c r="I27" i="5" s="1"/>
  <c r="I31" i="5"/>
  <c r="H31" i="5" s="1"/>
  <c r="I21" i="5"/>
  <c r="K73" i="4"/>
  <c r="K59" i="4"/>
  <c r="K66" i="4" s="1"/>
  <c r="K79" i="4"/>
  <c r="K81" i="4" s="1"/>
  <c r="K76" i="4"/>
  <c r="K74" i="4"/>
  <c r="K75" i="4" s="1"/>
  <c r="L69" i="4" s="1"/>
  <c r="M131" i="1"/>
  <c r="M133" i="1" s="1"/>
  <c r="N61" i="24"/>
  <c r="L72" i="4" l="1"/>
  <c r="L71" i="4"/>
  <c r="H21" i="5"/>
  <c r="I22" i="5"/>
  <c r="L73" i="4" l="1"/>
  <c r="L59" i="4"/>
  <c r="L66" i="4" s="1"/>
  <c r="L74" i="4"/>
  <c r="L75" i="4" s="1"/>
  <c r="M69" i="4" s="1"/>
  <c r="M72" i="4" s="1"/>
  <c r="L76" i="4"/>
  <c r="L79" i="4"/>
  <c r="L81" i="4" s="1"/>
  <c r="M71" i="4" l="1"/>
  <c r="M73" i="4" s="1"/>
  <c r="M76" i="4" l="1"/>
  <c r="M79" i="4"/>
  <c r="M81" i="4" s="1"/>
  <c r="M59" i="4"/>
  <c r="M66" i="4" s="1"/>
  <c r="M74" i="4"/>
  <c r="M75" i="4" s="1"/>
  <c r="N69" i="4" s="1"/>
  <c r="N72" i="4" s="1"/>
  <c r="N71" i="4" l="1"/>
  <c r="N73" i="4" s="1"/>
  <c r="N74" i="4" l="1"/>
  <c r="N75" i="4" s="1"/>
  <c r="O69" i="4" s="1"/>
  <c r="O72" i="4" s="1"/>
  <c r="N59" i="4"/>
  <c r="N66" i="4" s="1"/>
  <c r="N76" i="4"/>
  <c r="N79" i="4"/>
  <c r="N81" i="4" s="1"/>
  <c r="O71" i="4" l="1"/>
  <c r="O73" i="4" s="1"/>
  <c r="O59" i="4" l="1"/>
  <c r="O66" i="4" s="1"/>
  <c r="O79" i="4"/>
  <c r="O81" i="4" s="1"/>
  <c r="O76" i="4"/>
  <c r="O74" i="4"/>
  <c r="O75" i="4" s="1"/>
  <c r="P69" i="4" s="1"/>
  <c r="P72" i="4" s="1"/>
  <c r="P71" i="4" l="1"/>
  <c r="P73" i="4"/>
  <c r="P59" i="4" l="1"/>
  <c r="P66" i="4" s="1"/>
  <c r="P76" i="4"/>
  <c r="P74" i="4"/>
  <c r="P75" i="4" s="1"/>
  <c r="Q69" i="4" s="1"/>
  <c r="Q72" i="4" s="1"/>
  <c r="P79" i="4"/>
  <c r="P81" i="4" s="1"/>
  <c r="Q71" i="4" l="1"/>
  <c r="Q73" i="4" s="1"/>
  <c r="Q79" i="4" l="1"/>
  <c r="Q81" i="4" s="1"/>
  <c r="Q74" i="4"/>
  <c r="Q75" i="4" s="1"/>
  <c r="R69" i="4" s="1"/>
  <c r="R72" i="4" s="1"/>
  <c r="Q59" i="4"/>
  <c r="Q66" i="4" s="1"/>
  <c r="Q76" i="4"/>
  <c r="R71" i="4" l="1"/>
  <c r="R73" i="4" s="1"/>
  <c r="R76" i="4" l="1"/>
  <c r="R59" i="4"/>
  <c r="R66" i="4" s="1"/>
  <c r="R74" i="4"/>
  <c r="R75" i="4" s="1"/>
  <c r="S69" i="4" s="1"/>
  <c r="S72" i="4" s="1"/>
  <c r="R79" i="4"/>
  <c r="R81" i="4" s="1"/>
  <c r="S71" i="4" l="1"/>
  <c r="S73" i="4" s="1"/>
  <c r="S59" i="4" l="1"/>
  <c r="S66" i="4" s="1"/>
  <c r="S74" i="4"/>
  <c r="S75" i="4" s="1"/>
  <c r="F24" i="11" s="1"/>
  <c r="S76" i="4"/>
  <c r="S79" i="4"/>
  <c r="S80" i="4" l="1"/>
  <c r="S81" i="4" s="1"/>
  <c r="D82" i="4" s="1"/>
  <c r="F27" i="11"/>
  <c r="F33" i="11" s="1"/>
  <c r="F34" i="11" s="1"/>
  <c r="N64" i="24" s="1"/>
  <c r="M136" i="1" l="1"/>
  <c r="M137" i="1" s="1"/>
  <c r="N65"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Nikki Mohs</author>
    <author>Wes Johnson</author>
    <author>John Rocker</author>
  </authors>
  <commentList>
    <comment ref="O4" authorId="0" shapeId="0" xr:uid="{F3279F57-2F0B-49BA-9E1E-0F91BBD47695}">
      <text>
        <r>
          <rPr>
            <b/>
            <sz val="9"/>
            <color indexed="81"/>
            <rFont val="Tahoma"/>
            <family val="2"/>
          </rPr>
          <t>Nikki Mohs:</t>
        </r>
        <r>
          <rPr>
            <sz val="9"/>
            <color indexed="81"/>
            <rFont val="Tahoma"/>
            <family val="2"/>
          </rPr>
          <t xml:space="preserve">
If unknown, put "Single asset entity to be approved by GMHF"
</t>
        </r>
      </text>
    </comment>
    <comment ref="K12" authorId="1" shapeId="0" xr:uid="{F6DDD99F-0B99-476B-B7E0-012AF4BA7D54}">
      <text>
        <r>
          <rPr>
            <sz val="9"/>
            <color indexed="81"/>
            <rFont val="Tahoma"/>
            <family val="2"/>
          </rPr>
          <t xml:space="preserve">Enter 11 digit FIPS from </t>
        </r>
        <r>
          <rPr>
            <b/>
            <u/>
            <sz val="9"/>
            <color indexed="81"/>
            <rFont val="Tahoma"/>
            <family val="2"/>
          </rPr>
          <t>2024</t>
        </r>
        <r>
          <rPr>
            <sz val="9"/>
            <color indexed="81"/>
            <rFont val="Tahoma"/>
            <family val="2"/>
          </rPr>
          <t xml:space="preserve"> dropdown: State, County &amp; Tract Code, remove decimal. </t>
        </r>
      </text>
    </comment>
    <comment ref="L12" authorId="0" shapeId="0" xr:uid="{4812421A-7EA9-4CC1-A197-EA93D6D9FE62}">
      <text>
        <r>
          <rPr>
            <sz val="9"/>
            <color indexed="81"/>
            <rFont val="Tahoma"/>
            <family val="2"/>
          </rPr>
          <t xml:space="preserve">Enter 11 digit FIPS from </t>
        </r>
        <r>
          <rPr>
            <b/>
            <u/>
            <sz val="9"/>
            <color indexed="81"/>
            <rFont val="Tahoma"/>
            <family val="2"/>
          </rPr>
          <t>2023</t>
        </r>
        <r>
          <rPr>
            <sz val="9"/>
            <color indexed="81"/>
            <rFont val="Tahoma"/>
            <family val="2"/>
          </rPr>
          <t xml:space="preserve"> dropdown: State, County &amp; Tract Code, remove decimal. </t>
        </r>
      </text>
    </comment>
    <comment ref="L36" authorId="2" shapeId="0" xr:uid="{00000000-0006-0000-0000-000002000000}">
      <text>
        <r>
          <rPr>
            <b/>
            <sz val="9"/>
            <color indexed="81"/>
            <rFont val="Tahoma"/>
            <family val="2"/>
          </rPr>
          <t>John Rocker:</t>
        </r>
        <r>
          <rPr>
            <sz val="9"/>
            <color indexed="81"/>
            <rFont val="Tahoma"/>
            <family val="2"/>
          </rPr>
          <t xml:space="preserve">
List the type or source of any proejct-based rental assistance for these units (e.g., Section 8, RD, GRH)</t>
        </r>
      </text>
    </comment>
    <comment ref="G112" authorId="2" shapeId="0" xr:uid="{91231F7B-057B-4FB1-928E-69EE5781C786}">
      <text>
        <r>
          <rPr>
            <b/>
            <sz val="9"/>
            <color indexed="81"/>
            <rFont val="Tahoma"/>
            <family val="2"/>
          </rPr>
          <t>John Rocker:</t>
        </r>
        <r>
          <rPr>
            <sz val="9"/>
            <color indexed="81"/>
            <rFont val="Tahoma"/>
            <family val="2"/>
          </rPr>
          <t xml:space="preserve">
Insert Indicated Value, Appraised Value or other value as appropriate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Nikki Mohs</author>
  </authors>
  <commentList>
    <comment ref="C29" authorId="0" shapeId="0" xr:uid="{50076229-D982-4A1F-B634-4574B24CE6DF}">
      <text>
        <r>
          <rPr>
            <b/>
            <sz val="8"/>
            <color indexed="81"/>
            <rFont val="Tahoma"/>
            <family val="2"/>
          </rPr>
          <t>Nikki Mohs:</t>
        </r>
        <r>
          <rPr>
            <sz val="8"/>
            <color indexed="81"/>
            <rFont val="Tahoma"/>
            <family val="2"/>
          </rPr>
          <t xml:space="preserve">
2020 Census Tract</t>
        </r>
      </text>
    </comment>
    <comment ref="D29" authorId="0" shapeId="0" xr:uid="{02ADD111-8BF6-4C2D-BDE2-9C7D4087F7D0}">
      <text>
        <r>
          <rPr>
            <b/>
            <sz val="8"/>
            <color indexed="81"/>
            <rFont val="Tahoma"/>
            <family val="2"/>
          </rPr>
          <t>Nikki Mohs:</t>
        </r>
        <r>
          <rPr>
            <sz val="8"/>
            <color indexed="81"/>
            <rFont val="Tahoma"/>
            <family val="2"/>
          </rPr>
          <t xml:space="preserve">
2010 Census Tract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John Rocker</author>
    <author>Wes Johnson</author>
    <author>Nikki Mohs</author>
  </authors>
  <commentList>
    <comment ref="AJ9" authorId="0" shapeId="0" xr:uid="{00000000-0006-0000-0000-000001000000}">
      <text>
        <r>
          <rPr>
            <b/>
            <sz val="9"/>
            <color indexed="81"/>
            <rFont val="Tahoma"/>
            <family val="2"/>
          </rPr>
          <t>John Rocker:</t>
        </r>
        <r>
          <rPr>
            <sz val="9"/>
            <color indexed="81"/>
            <rFont val="Tahoma"/>
            <family val="2"/>
          </rPr>
          <t xml:space="preserve">
Enter this number and rest of table will populate
</t>
        </r>
      </text>
    </comment>
    <comment ref="U14" authorId="1" shapeId="0" xr:uid="{F4C84460-EBF1-4686-85EB-CE623500A9ED}">
      <text>
        <r>
          <rPr>
            <b/>
            <sz val="9"/>
            <color indexed="81"/>
            <rFont val="Tahoma"/>
            <family val="2"/>
          </rPr>
          <t>Wes Johnson:</t>
        </r>
        <r>
          <rPr>
            <sz val="9"/>
            <color indexed="81"/>
            <rFont val="Tahoma"/>
            <family val="2"/>
          </rPr>
          <t xml:space="preserve">
Achievable market rents are typically quoted as "street rents" (net rents) while limits are gross rents, so adjustments may be required for comparison</t>
        </r>
      </text>
    </comment>
    <comment ref="L18" authorId="2" shapeId="0" xr:uid="{F8056509-F795-470B-B548-E82461EEA8E9}">
      <text>
        <r>
          <rPr>
            <b/>
            <sz val="9"/>
            <color indexed="81"/>
            <rFont val="Tahoma"/>
            <family val="2"/>
          </rPr>
          <t>Nikki Mohs:</t>
        </r>
        <r>
          <rPr>
            <sz val="9"/>
            <color indexed="81"/>
            <rFont val="Tahoma"/>
            <family val="2"/>
          </rPr>
          <t xml:space="preserve">
Select if unit is designated for Supportive Housing, such as HPH &amp; PWD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Wes Johnson</author>
  </authors>
  <commentList>
    <comment ref="J8" authorId="0" shapeId="0" xr:uid="{91B48AD1-2904-404E-8702-AA5697A9AB21}">
      <text>
        <r>
          <rPr>
            <b/>
            <sz val="9"/>
            <color indexed="81"/>
            <rFont val="Tahoma"/>
            <family val="2"/>
          </rPr>
          <t>Wes Johnson:</t>
        </r>
        <r>
          <rPr>
            <sz val="9"/>
            <color indexed="81"/>
            <rFont val="Tahoma"/>
            <family val="2"/>
          </rPr>
          <t xml:space="preserve">
Can toggle between Per Unit and Total using drop down menu</t>
        </r>
      </text>
    </comment>
    <comment ref="AJ9" authorId="0" shapeId="0" xr:uid="{4C85720B-64AD-472D-8752-0998AECAA980}">
      <text>
        <r>
          <rPr>
            <b/>
            <sz val="9"/>
            <color indexed="81"/>
            <rFont val="Tahoma"/>
            <family val="2"/>
          </rPr>
          <t>Wes Johnson:</t>
        </r>
        <r>
          <rPr>
            <sz val="9"/>
            <color indexed="81"/>
            <rFont val="Tahoma"/>
            <family val="2"/>
          </rPr>
          <t xml:space="preserve">
Est. assessed value should be at least 90% of sale price or market value, and align with comparable property EMVs</t>
        </r>
      </text>
    </comment>
    <comment ref="AJ11" authorId="0" shapeId="0" xr:uid="{A775D3F7-99E3-4857-B9C2-F98E8581ADBD}">
      <text>
        <r>
          <rPr>
            <b/>
            <sz val="9"/>
            <color indexed="81"/>
            <rFont val="Tahoma"/>
            <family val="2"/>
          </rPr>
          <t>Wes Johnson:</t>
        </r>
        <r>
          <rPr>
            <sz val="9"/>
            <color indexed="81"/>
            <rFont val="Tahoma"/>
            <family val="2"/>
          </rPr>
          <t xml:space="preserve">
GMHF financing alone does not qualify projects for 4d. Must have state, local, or federal financing with affordability restriction.</t>
        </r>
      </text>
    </comment>
    <comment ref="AJ27" authorId="0" shapeId="0" xr:uid="{CFC62200-E0A9-47C0-8BFA-9C574AF3216E}">
      <text>
        <r>
          <rPr>
            <b/>
            <sz val="9"/>
            <color indexed="81"/>
            <rFont val="Tahoma"/>
            <family val="2"/>
          </rPr>
          <t>Wes Johnson:</t>
        </r>
        <r>
          <rPr>
            <sz val="9"/>
            <color indexed="81"/>
            <rFont val="Tahoma"/>
            <family val="2"/>
          </rPr>
          <t xml:space="preserve">
This can be obtained from the assessor--typically on their website</t>
        </r>
      </text>
    </comment>
    <comment ref="AJ34" authorId="0" shapeId="0" xr:uid="{32060964-FFC9-4567-9A6A-138D1AC9A15A}">
      <text>
        <r>
          <rPr>
            <b/>
            <sz val="9"/>
            <color indexed="81"/>
            <rFont val="Tahoma"/>
            <family val="2"/>
          </rPr>
          <t>Wes Johnson:</t>
        </r>
        <r>
          <rPr>
            <sz val="9"/>
            <color indexed="81"/>
            <rFont val="Tahoma"/>
            <family val="2"/>
          </rPr>
          <t xml:space="preserve">
This can be obtained from the assessor. Typically from their website.</t>
        </r>
      </text>
    </comment>
    <comment ref="AJ37" authorId="0" shapeId="0" xr:uid="{89643807-3FA1-4B80-92E4-06FB0BB75356}">
      <text>
        <r>
          <rPr>
            <b/>
            <sz val="9"/>
            <color indexed="81"/>
            <rFont val="Tahoma"/>
            <family val="2"/>
          </rPr>
          <t>Wes Johnson:</t>
        </r>
        <r>
          <rPr>
            <sz val="9"/>
            <color indexed="81"/>
            <rFont val="Tahoma"/>
            <family val="2"/>
          </rPr>
          <t xml:space="preserve">
Any class of property that is included in the definition of referendum market value and has a classification rate of less than one percent has a referendum market value equal to its net tax capacity multiplied by 100. This affects:
Class 1b Blind/Disabled Homesteads 
Class 1c Homestead Resorts (first tier only) 
Class 4d Qualifying Low Income Rental Housing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Wes Johnson</author>
    <author>John Rocker</author>
  </authors>
  <commentList>
    <comment ref="K3" authorId="0" shapeId="0" xr:uid="{6F8B80B8-F594-41A7-95B1-40722CB76E49}">
      <text>
        <r>
          <rPr>
            <b/>
            <sz val="9"/>
            <color indexed="81"/>
            <rFont val="Tahoma"/>
            <family val="2"/>
          </rPr>
          <t>Wes Johnson:</t>
        </r>
        <r>
          <rPr>
            <sz val="9"/>
            <color indexed="81"/>
            <rFont val="Tahoma"/>
            <family val="2"/>
          </rPr>
          <t xml:space="preserve">
Choose up to one interim or permanent loan for CMF. Default is GMHF construction/bridge loan. Otherwise use GMHF permanent loan. If NOI and TIF loans are listed separately, include both if using GMHF perm loan as CMF.</t>
        </r>
      </text>
    </comment>
    <comment ref="K11" authorId="0" shapeId="0" xr:uid="{F5C311E3-462B-40D6-BA2E-7756D8A21CCB}">
      <text>
        <r>
          <rPr>
            <b/>
            <sz val="9"/>
            <color indexed="81"/>
            <rFont val="Tahoma"/>
            <family val="2"/>
          </rPr>
          <t>Wes Johnson:</t>
        </r>
        <r>
          <rPr>
            <sz val="9"/>
            <color indexed="81"/>
            <rFont val="Tahoma"/>
            <family val="2"/>
          </rPr>
          <t xml:space="preserve">
Choose up to one interim or permanent loan for CMF. Default is GMHF construction/bridge loan. Otherwise use GMHF permanent loan. If NOI and TIF loans are listed separately, include both if using GMHF perm loan as CMF.</t>
        </r>
      </text>
    </comment>
    <comment ref="G40" authorId="1" shapeId="0" xr:uid="{109D6CF6-782F-4316-9A26-CCD93CBE8CCB}">
      <text>
        <r>
          <rPr>
            <b/>
            <sz val="9"/>
            <color indexed="81"/>
            <rFont val="Tahoma"/>
            <family val="2"/>
          </rPr>
          <t>John Rocker:</t>
        </r>
        <r>
          <rPr>
            <sz val="9"/>
            <color indexed="81"/>
            <rFont val="Tahoma"/>
            <family val="2"/>
          </rPr>
          <t xml:space="preserve">
Insert Indicated Value, Appraised Value or other value as appropriate
</t>
        </r>
      </text>
    </comment>
    <comment ref="N55" authorId="0" shapeId="0" xr:uid="{CCC142C3-9B9E-4496-9D13-4A4D539C7325}">
      <text>
        <r>
          <rPr>
            <b/>
            <sz val="9"/>
            <color indexed="81"/>
            <rFont val="Tahoma"/>
            <family val="2"/>
          </rPr>
          <t>Wes Johnson:</t>
        </r>
        <r>
          <rPr>
            <sz val="9"/>
            <color indexed="81"/>
            <rFont val="Tahoma"/>
            <family val="2"/>
          </rPr>
          <t xml:space="preserve">
0 = interest only</t>
        </r>
      </text>
    </comment>
    <comment ref="N60" authorId="0" shapeId="0" xr:uid="{4D234804-1465-409F-899E-5BA3C461324B}">
      <text>
        <r>
          <rPr>
            <b/>
            <sz val="9"/>
            <color indexed="81"/>
            <rFont val="Tahoma"/>
            <family val="2"/>
          </rPr>
          <t>Wes Johnson:</t>
        </r>
        <r>
          <rPr>
            <sz val="9"/>
            <color indexed="81"/>
            <rFont val="Tahoma"/>
            <family val="2"/>
          </rPr>
          <t xml:space="preserve">
To be verified for each project, internally</t>
        </r>
      </text>
    </comment>
    <comment ref="G75" authorId="1" shapeId="0" xr:uid="{E12D072B-075D-4A92-8F9E-421F99065484}">
      <text>
        <r>
          <rPr>
            <b/>
            <sz val="9"/>
            <color indexed="81"/>
            <rFont val="Tahoma"/>
            <family val="2"/>
          </rPr>
          <t>John Rocker:</t>
        </r>
        <r>
          <rPr>
            <sz val="9"/>
            <color indexed="81"/>
            <rFont val="Tahoma"/>
            <family val="2"/>
          </rPr>
          <t xml:space="preserve">
Insert Indicated Value, Appraised Value or other value as appropriate
</t>
        </r>
      </text>
    </comment>
    <comment ref="G76" authorId="0" shapeId="0" xr:uid="{041BDBE2-3592-4F8F-A4F7-5775C199533C}">
      <text>
        <r>
          <rPr>
            <b/>
            <sz val="9"/>
            <color indexed="81"/>
            <rFont val="Tahoma"/>
            <family val="2"/>
          </rPr>
          <t>Wes Johnson:</t>
        </r>
        <r>
          <rPr>
            <sz val="9"/>
            <color indexed="81"/>
            <rFont val="Tahoma"/>
            <family val="2"/>
          </rPr>
          <t xml:space="preserve">
If TIF is included in 1st mortgage, enter the as-restricted real estate value here</t>
        </r>
      </text>
    </comment>
    <comment ref="M95" authorId="0" shapeId="0" xr:uid="{7BF64321-9B8A-4B7E-9CE7-FDD23153D262}">
      <text>
        <r>
          <rPr>
            <b/>
            <sz val="9"/>
            <color indexed="81"/>
            <rFont val="Tahoma"/>
            <family val="2"/>
          </rPr>
          <t>Wes Johnson:</t>
        </r>
        <r>
          <rPr>
            <sz val="9"/>
            <color indexed="81"/>
            <rFont val="Tahoma"/>
            <family val="2"/>
          </rPr>
          <t xml:space="preserve">
Carried over from maximum % of Subordinate and Equity Financing from Loan Sizing Table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Wes Johnson</author>
  </authors>
  <commentList>
    <comment ref="C52" authorId="0" shapeId="0" xr:uid="{2DC4AED2-B68C-4367-8295-0C5253819AE9}">
      <text>
        <r>
          <rPr>
            <b/>
            <sz val="9"/>
            <color indexed="81"/>
            <rFont val="Tahoma"/>
            <family val="2"/>
          </rPr>
          <t>Wes Johnson:</t>
        </r>
        <r>
          <rPr>
            <sz val="9"/>
            <color indexed="81"/>
            <rFont val="Tahoma"/>
            <family val="2"/>
          </rPr>
          <t xml:space="preserve">
Any payments made prior to calculation of "Eligible Cashflow" should be included in this section. I.e. if GMHF has a cash-flow based loan that is repaid based on a % of cashflow, its payments will be calculated based on a % of Eligible Cashflow.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Wes Johnson</author>
    <author>John Rocker</author>
  </authors>
  <commentList>
    <comment ref="F9" authorId="0" shapeId="0" xr:uid="{FA3C746B-BF4F-4942-AC64-CAF7B4237B83}">
      <text>
        <r>
          <rPr>
            <b/>
            <sz val="9"/>
            <color indexed="81"/>
            <rFont val="Tahoma"/>
            <family val="2"/>
          </rPr>
          <t>Wes Johnson:</t>
        </r>
        <r>
          <rPr>
            <sz val="9"/>
            <color indexed="81"/>
            <rFont val="Tahoma"/>
            <family val="2"/>
          </rPr>
          <t xml:space="preserve">
Assumes greater of current cap rate + 1.00% or 6.5%</t>
        </r>
      </text>
    </comment>
    <comment ref="P9" authorId="0" shapeId="0" xr:uid="{E9D68568-DFBB-4257-A711-F676D0F9DCAC}">
      <text>
        <r>
          <rPr>
            <b/>
            <sz val="9"/>
            <color indexed="81"/>
            <rFont val="Tahoma"/>
            <family val="2"/>
          </rPr>
          <t>Wes Johnson:</t>
        </r>
        <r>
          <rPr>
            <sz val="9"/>
            <color indexed="81"/>
            <rFont val="Tahoma"/>
            <family val="2"/>
          </rPr>
          <t xml:space="preserve">
Defaults to initial term less Year of Refinance, assumes 2 pmts/yr</t>
        </r>
      </text>
    </comment>
    <comment ref="P10" authorId="0" shapeId="0" xr:uid="{E6FD87AF-FA09-47E1-9A26-6A006C943CE2}">
      <text>
        <r>
          <rPr>
            <b/>
            <sz val="9"/>
            <color indexed="81"/>
            <rFont val="Tahoma"/>
            <family val="2"/>
          </rPr>
          <t>Wes Johnson:</t>
        </r>
        <r>
          <rPr>
            <sz val="9"/>
            <color indexed="81"/>
            <rFont val="Tahoma"/>
            <family val="2"/>
          </rPr>
          <t xml:space="preserve">
Defaults to current rate + 1.00%</t>
        </r>
      </text>
    </comment>
    <comment ref="J11" authorId="1" shapeId="0" xr:uid="{8B2AC56F-25AA-48CB-8681-FD6D5EEA4071}">
      <text>
        <r>
          <rPr>
            <b/>
            <sz val="9"/>
            <color indexed="81"/>
            <rFont val="Tahoma"/>
            <family val="2"/>
          </rPr>
          <t>John Rocker:</t>
        </r>
        <r>
          <rPr>
            <sz val="9"/>
            <color indexed="81"/>
            <rFont val="Tahoma"/>
            <family val="2"/>
          </rPr>
          <t xml:space="preserve">
Assumes 2% increase over current rate</t>
        </r>
      </text>
    </comment>
    <comment ref="F31" authorId="0" shapeId="0" xr:uid="{F4ECF7DC-F565-4FEA-9A78-9DC032C22FDF}">
      <text>
        <r>
          <rPr>
            <b/>
            <sz val="9"/>
            <color indexed="81"/>
            <rFont val="Tahoma"/>
            <family val="2"/>
          </rPr>
          <t>Wes Johnson:</t>
        </r>
        <r>
          <rPr>
            <sz val="9"/>
            <color indexed="81"/>
            <rFont val="Tahoma"/>
            <family val="2"/>
          </rPr>
          <t xml:space="preserve">
Be careful to only include reserves that we believe will still be there at time of refinance. Debt service reserves held by GMHF may be OK, but sometimes syndicators want to control what to do with operating reserves at exit.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Wes Johnson</author>
  </authors>
  <commentList>
    <comment ref="E8" authorId="0" shapeId="0" xr:uid="{541CFE71-0E03-4E84-96AE-89FB7B16704D}">
      <text>
        <r>
          <rPr>
            <b/>
            <sz val="9"/>
            <color indexed="81"/>
            <rFont val="Tahoma"/>
            <family val="2"/>
          </rPr>
          <t>Wes Johnson:</t>
        </r>
        <r>
          <rPr>
            <sz val="9"/>
            <color indexed="81"/>
            <rFont val="Tahoma"/>
            <family val="2"/>
          </rPr>
          <t xml:space="preserve">
Enter development cost budget items. Separate interest budget from other financing costs</t>
        </r>
      </text>
    </comment>
    <comment ref="E9" authorId="0" shapeId="0" xr:uid="{3FD823B2-2B41-4FD5-9839-DEBC35CB4253}">
      <text>
        <r>
          <rPr>
            <b/>
            <sz val="9"/>
            <color indexed="81"/>
            <rFont val="Tahoma"/>
            <family val="2"/>
          </rPr>
          <t>Wes Johnson:</t>
        </r>
        <r>
          <rPr>
            <sz val="9"/>
            <color indexed="81"/>
            <rFont val="Tahoma"/>
            <family val="2"/>
          </rPr>
          <t xml:space="preserve">
Includes hard costs, overhead/general conditions, and contingency</t>
        </r>
      </text>
    </comment>
    <comment ref="G9" authorId="0" shapeId="0" xr:uid="{8E8F9616-9E1F-49E6-9FAC-9A12F9F63A35}">
      <text>
        <r>
          <rPr>
            <b/>
            <sz val="9"/>
            <color indexed="81"/>
            <rFont val="Tahoma"/>
            <family val="2"/>
          </rPr>
          <t>Wes Johnson:</t>
        </r>
        <r>
          <rPr>
            <sz val="9"/>
            <color indexed="81"/>
            <rFont val="Tahoma"/>
            <family val="2"/>
          </rPr>
          <t xml:space="preserve">
Construction costs defaults based on % completion data above, but can be over-ridden. </t>
        </r>
      </text>
    </comment>
    <comment ref="E21" authorId="0" shapeId="0" xr:uid="{66259859-C283-4D6F-85E3-AFC877CA43CB}">
      <text>
        <r>
          <rPr>
            <b/>
            <sz val="9"/>
            <color indexed="81"/>
            <rFont val="Tahoma"/>
            <family val="2"/>
          </rPr>
          <t>Wes Johnson:</t>
        </r>
        <r>
          <rPr>
            <sz val="9"/>
            <color indexed="81"/>
            <rFont val="Tahoma"/>
            <family val="2"/>
          </rPr>
          <t xml:space="preserve">
Excludes construction loan interest, which is calculated below</t>
        </r>
      </text>
    </comment>
    <comment ref="F24" authorId="0" shapeId="0" xr:uid="{CC6392D9-A0C9-451B-BC8E-36FC6A6359FE}">
      <text>
        <r>
          <rPr>
            <b/>
            <sz val="9"/>
            <color indexed="81"/>
            <rFont val="Tahoma"/>
            <family val="2"/>
          </rPr>
          <t>Wes Johnson:</t>
        </r>
        <r>
          <rPr>
            <sz val="9"/>
            <color indexed="81"/>
            <rFont val="Tahoma"/>
            <family val="2"/>
          </rPr>
          <t xml:space="preserve">
Should be negative to provide some cushion. This is the only item in this column that should not be Zero</t>
        </r>
      </text>
    </comment>
    <comment ref="F25" authorId="0" shapeId="0" xr:uid="{A5FBF4B2-5CC0-426B-992A-AE9717AF71C8}">
      <text>
        <r>
          <rPr>
            <b/>
            <sz val="9"/>
            <color indexed="81"/>
            <rFont val="Tahoma"/>
            <family val="2"/>
          </rPr>
          <t>Wes Johnson:</t>
        </r>
        <r>
          <rPr>
            <sz val="9"/>
            <color indexed="81"/>
            <rFont val="Tahoma"/>
            <family val="2"/>
          </rPr>
          <t xml:space="preserve">
Should be negative to provide some cushion. This is the only item in this column that should not be Zero</t>
        </r>
      </text>
    </comment>
    <comment ref="E26" authorId="0" shapeId="0" xr:uid="{F9A6C4D0-371A-4FF7-B48F-BAA39B66BE87}">
      <text>
        <r>
          <rPr>
            <b/>
            <sz val="9"/>
            <color indexed="81"/>
            <rFont val="Tahoma"/>
            <family val="2"/>
          </rPr>
          <t>Wes Johnson:</t>
        </r>
        <r>
          <rPr>
            <sz val="9"/>
            <color indexed="81"/>
            <rFont val="Tahoma"/>
            <family val="2"/>
          </rPr>
          <t xml:space="preserve">
Should equal total development costs</t>
        </r>
      </text>
    </comment>
    <comment ref="E31" authorId="0" shapeId="0" xr:uid="{6D0656F8-5206-4FF1-B723-BFD703D35C92}">
      <text>
        <r>
          <rPr>
            <b/>
            <sz val="9"/>
            <color indexed="81"/>
            <rFont val="Tahoma"/>
            <family val="2"/>
          </rPr>
          <t>Wes Johnson:</t>
        </r>
        <r>
          <rPr>
            <sz val="9"/>
            <color indexed="81"/>
            <rFont val="Tahoma"/>
            <family val="2"/>
          </rPr>
          <t xml:space="preserve">
Enter budgeted sources and uses.</t>
        </r>
      </text>
    </comment>
    <comment ref="G59" authorId="0" shapeId="0" xr:uid="{C1F5DD80-E601-400B-BBA8-FCEBC578B2BC}">
      <text>
        <r>
          <rPr>
            <b/>
            <sz val="9"/>
            <color indexed="81"/>
            <rFont val="Tahoma"/>
            <family val="2"/>
          </rPr>
          <t>Wes Johnson:</t>
        </r>
        <r>
          <rPr>
            <sz val="9"/>
            <color indexed="81"/>
            <rFont val="Tahoma"/>
            <family val="2"/>
          </rPr>
          <t xml:space="preserve">
Enter a negative number where repayment is expected. Source of repayment would be a Preliminary Surplus in the line above</t>
        </r>
      </text>
    </comment>
    <comment ref="G72" authorId="0" shapeId="0" xr:uid="{EB46F8A4-B3F8-4067-9400-8E675904CBB9}">
      <text>
        <r>
          <rPr>
            <b/>
            <sz val="9"/>
            <color indexed="81"/>
            <rFont val="Tahoma"/>
            <family val="2"/>
          </rPr>
          <t>Wes Johnson:</t>
        </r>
        <r>
          <rPr>
            <sz val="9"/>
            <color indexed="81"/>
            <rFont val="Tahoma"/>
            <family val="2"/>
          </rPr>
          <t xml:space="preserve">
Enter a negative number where repayment is expected. Source of repayment would be a Preliminary Surplus in the line above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John Rocker</author>
  </authors>
  <commentList>
    <comment ref="I34" authorId="0" shapeId="0" xr:uid="{00000000-0006-0000-0200-000001000000}">
      <text>
        <r>
          <rPr>
            <b/>
            <sz val="9"/>
            <color indexed="81"/>
            <rFont val="Tahoma"/>
            <family val="2"/>
          </rPr>
          <t>John Rocker:</t>
        </r>
        <r>
          <rPr>
            <sz val="9"/>
            <color indexed="81"/>
            <rFont val="Tahoma"/>
            <family val="2"/>
          </rPr>
          <t xml:space="preserve">
Need to run Goal Seek below to update these numbers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Wes Johnson</author>
  </authors>
  <commentList>
    <comment ref="G24" authorId="0" shapeId="0" xr:uid="{67345C67-3749-4A4F-A3B4-C8B939331256}">
      <text>
        <r>
          <rPr>
            <b/>
            <sz val="9"/>
            <color indexed="81"/>
            <rFont val="Tahoma"/>
            <family val="2"/>
          </rPr>
          <t>Wes Johnson:</t>
        </r>
        <r>
          <rPr>
            <sz val="9"/>
            <color indexed="81"/>
            <rFont val="Tahoma"/>
            <family val="2"/>
          </rPr>
          <t xml:space="preserve">
Enter budgeted sources and uses.</t>
        </r>
      </text>
    </comment>
  </commentList>
</comments>
</file>

<file path=xl/sharedStrings.xml><?xml version="1.0" encoding="utf-8"?>
<sst xmlns="http://schemas.openxmlformats.org/spreadsheetml/2006/main" count="1827" uniqueCount="1057">
  <si>
    <t>#BR</t>
  </si>
  <si>
    <t>#BA</t>
  </si>
  <si>
    <t>Utility Allow</t>
  </si>
  <si>
    <t>Net
Rent</t>
  </si>
  <si>
    <t>Square Feet</t>
  </si>
  <si>
    <t>Totals</t>
  </si>
  <si>
    <t>Category</t>
  </si>
  <si>
    <t>Gross Potential Rent</t>
  </si>
  <si>
    <t>Residential Income</t>
  </si>
  <si>
    <t>Parking Income</t>
  </si>
  <si>
    <t>Commercial Income</t>
  </si>
  <si>
    <t>Tenant Fees</t>
  </si>
  <si>
    <t>Laundry</t>
  </si>
  <si>
    <t>Other</t>
  </si>
  <si>
    <t>Total Other Income</t>
  </si>
  <si>
    <t>Operating Expenses</t>
  </si>
  <si>
    <t>Administrative</t>
  </si>
  <si>
    <t>Maintenance</t>
  </si>
  <si>
    <t>Utilities</t>
  </si>
  <si>
    <t>Supportive Housing</t>
  </si>
  <si>
    <t>Insurance</t>
  </si>
  <si>
    <t>Total M&amp;O</t>
  </si>
  <si>
    <t>Real Estate Taxes</t>
  </si>
  <si>
    <t>Reserves</t>
  </si>
  <si>
    <t>Other Income from Operations</t>
  </si>
  <si>
    <t>Rental Loss</t>
  </si>
  <si>
    <t>Residential Vacancy</t>
  </si>
  <si>
    <t>Parking Vacancy</t>
  </si>
  <si>
    <t>Commercial Vacancy</t>
  </si>
  <si>
    <t>Total Rental Loss</t>
  </si>
  <si>
    <t>Effective Gross Income</t>
  </si>
  <si>
    <t>Total Potential Rent</t>
  </si>
  <si>
    <t>Total Operating Expenses</t>
  </si>
  <si>
    <t>Net Operating Income</t>
  </si>
  <si>
    <t>Planned</t>
  </si>
  <si>
    <t>Gross
Rent</t>
  </si>
  <si>
    <t>Total</t>
  </si>
  <si>
    <t>First Mortgage</t>
  </si>
  <si>
    <t>Uses</t>
  </si>
  <si>
    <t>Total Uses</t>
  </si>
  <si>
    <t>Project Name</t>
  </si>
  <si>
    <t># Units</t>
  </si>
  <si>
    <t>Percent</t>
  </si>
  <si>
    <t>Rental Assistance</t>
  </si>
  <si>
    <t>Rate</t>
  </si>
  <si>
    <t>Temporary Income (ie TIF)</t>
  </si>
  <si>
    <t>Residential Vacancy Rate</t>
  </si>
  <si>
    <t>Parking Vacancy Rate</t>
  </si>
  <si>
    <t>Commercial Vacancy Rate</t>
  </si>
  <si>
    <t>Reserves per Unit</t>
  </si>
  <si>
    <t>Income Available for Debt Service</t>
  </si>
  <si>
    <t>Debt Service</t>
  </si>
  <si>
    <t>Total Debt Service</t>
  </si>
  <si>
    <t>Debt Coverage Ratio</t>
  </si>
  <si>
    <t>Income Growth Rate</t>
  </si>
  <si>
    <t>Capitalization Rate</t>
  </si>
  <si>
    <t>Year 1</t>
  </si>
  <si>
    <t>Year 15</t>
  </si>
  <si>
    <t>Minimum Debt Coverage Ratio</t>
  </si>
  <si>
    <t>Lesser of Year 1 and Year 15</t>
  </si>
  <si>
    <t>Interest Rate</t>
  </si>
  <si>
    <t>Amortization (years)</t>
  </si>
  <si>
    <t>Eligible Cash Flow Distribution</t>
  </si>
  <si>
    <t>Sources</t>
  </si>
  <si>
    <t>Accrued Interest</t>
  </si>
  <si>
    <t>Lender</t>
  </si>
  <si>
    <t>Expense Ratio</t>
  </si>
  <si>
    <t>Cash Flow after Debt Service</t>
  </si>
  <si>
    <t>Payments From Cash Flow</t>
  </si>
  <si>
    <t>Year 2</t>
  </si>
  <si>
    <t>Year 3</t>
  </si>
  <si>
    <t>Year 4</t>
  </si>
  <si>
    <t>Year 5</t>
  </si>
  <si>
    <t>Year 6</t>
  </si>
  <si>
    <t>Year 7</t>
  </si>
  <si>
    <t>Year 8</t>
  </si>
  <si>
    <t>Year 9</t>
  </si>
  <si>
    <t>Year 10</t>
  </si>
  <si>
    <t>Year 11</t>
  </si>
  <si>
    <t>Year 12</t>
  </si>
  <si>
    <t>Year 13</t>
  </si>
  <si>
    <t>Year 14</t>
  </si>
  <si>
    <t>Project Address</t>
  </si>
  <si>
    <t>Project City</t>
  </si>
  <si>
    <t>UNIT MIX AND RENT LEVELS</t>
  </si>
  <si>
    <t>Per Unit</t>
  </si>
  <si>
    <t>PROPOSED SOURCES AND USES</t>
  </si>
  <si>
    <t>Construction Contingency</t>
  </si>
  <si>
    <t>Total Sources</t>
  </si>
  <si>
    <t>Cash Required / (Cash Out)</t>
  </si>
  <si>
    <t>Max Loan Based on Value</t>
  </si>
  <si>
    <t>Principal Balance</t>
  </si>
  <si>
    <t>Maturity Date</t>
  </si>
  <si>
    <t>Annual Payment</t>
  </si>
  <si>
    <t>To Be Paid Off (Y/N)</t>
  </si>
  <si>
    <t>EXISTING DEBT</t>
  </si>
  <si>
    <t>Gross Rent Potential</t>
  </si>
  <si>
    <t>Income Limit
(% AMI)</t>
  </si>
  <si>
    <t>Deposit to Replacement Reserves</t>
  </si>
  <si>
    <t>NOTES</t>
  </si>
  <si>
    <t>FIRST MORTGAGE SIZING CALCULATIONS</t>
  </si>
  <si>
    <t>3rd Mortgage</t>
  </si>
  <si>
    <t>2nd Mortgage</t>
  </si>
  <si>
    <t>Loan Amount</t>
  </si>
  <si>
    <t>Term  (years)</t>
  </si>
  <si>
    <t>Calculated Annual Debt Service</t>
  </si>
  <si>
    <t>Manual Override of Debt Service</t>
  </si>
  <si>
    <t>OPERATING CALCULATIONS</t>
  </si>
  <si>
    <t>Developer Fee</t>
  </si>
  <si>
    <t>Management Fee</t>
  </si>
  <si>
    <t>Indicated Restricted Value</t>
  </si>
  <si>
    <t>Stress Test</t>
  </si>
  <si>
    <t># of Units</t>
  </si>
  <si>
    <t>Gross Rent Potential (Residential only)</t>
  </si>
  <si>
    <t>Occupancy Rate</t>
  </si>
  <si>
    <t>Total Operating Expense</t>
  </si>
  <si>
    <t>Cash Flow</t>
  </si>
  <si>
    <t>Pro Forma Growth Rate - Income</t>
  </si>
  <si>
    <t>Underwritten average rent</t>
  </si>
  <si>
    <t>Amount average rent can fall and still break even</t>
  </si>
  <si>
    <t>Average Rent which results in break even</t>
  </si>
  <si>
    <t>Underwritten residential vacancy</t>
  </si>
  <si>
    <t>Amount vacancy can increase and still break even</t>
  </si>
  <si>
    <t>Vacancy rate which results in break even</t>
  </si>
  <si>
    <t>Underwritten operating expenses/unit (excluding reserves)</t>
  </si>
  <si>
    <t>Amount total expenses/unit may increase and still break even</t>
  </si>
  <si>
    <t>Pro Forma Income and Expenses</t>
  </si>
  <si>
    <t>Year</t>
  </si>
  <si>
    <t>Rental Income</t>
  </si>
  <si>
    <t>Temp Income</t>
  </si>
  <si>
    <t>Total Income</t>
  </si>
  <si>
    <t>Total Expenses</t>
  </si>
  <si>
    <t>Break Even for Income Growth</t>
  </si>
  <si>
    <t>Annual Growth Rate - Income</t>
  </si>
  <si>
    <t>Annual Growth Rate - Expenses</t>
  </si>
  <si>
    <t>Break Even for Expense Growth</t>
  </si>
  <si>
    <t>RENTS</t>
  </si>
  <si>
    <t>VACANCY</t>
  </si>
  <si>
    <t>EXPENSES</t>
  </si>
  <si>
    <t>GROWTH RATES</t>
  </si>
  <si>
    <r>
      <t>Minimum average income growth rate to break even (</t>
    </r>
    <r>
      <rPr>
        <i/>
        <sz val="10"/>
        <color theme="1"/>
        <rFont val="Calibri"/>
        <family val="2"/>
        <scheme val="minor"/>
      </rPr>
      <t>assuming pro forma growth in expenses</t>
    </r>
    <r>
      <rPr>
        <sz val="10"/>
        <color theme="1"/>
        <rFont val="Calibri"/>
        <family val="2"/>
        <scheme val="minor"/>
      </rPr>
      <t>)</t>
    </r>
  </si>
  <si>
    <r>
      <t>Maximum average expense growth rate to break even (</t>
    </r>
    <r>
      <rPr>
        <i/>
        <sz val="10"/>
        <color theme="1"/>
        <rFont val="Calibri"/>
        <family val="2"/>
        <scheme val="minor"/>
      </rPr>
      <t>assuming pro forma growth in income)</t>
    </r>
  </si>
  <si>
    <t>Benchmark</t>
  </si>
  <si>
    <t>Cash</t>
  </si>
  <si>
    <t>Current Assets</t>
  </si>
  <si>
    <t>Long Term Assets</t>
  </si>
  <si>
    <t>Total Assets</t>
  </si>
  <si>
    <t>Current Liabilities</t>
  </si>
  <si>
    <t>Long Term Liabilities</t>
  </si>
  <si>
    <t>Total Liabilities</t>
  </si>
  <si>
    <t>Equity/Net Assets</t>
  </si>
  <si>
    <t>Working Capital</t>
  </si>
  <si>
    <t>Current Ratio</t>
  </si>
  <si>
    <t>1.0 - 1.5</t>
  </si>
  <si>
    <t>Quick Ratio</t>
  </si>
  <si>
    <t>LT Debt : Net Assets</t>
  </si>
  <si>
    <t>&lt; 4.00</t>
  </si>
  <si>
    <t>Revenue</t>
  </si>
  <si>
    <t>% of Revenue Earned</t>
  </si>
  <si>
    <t>Number of Units</t>
  </si>
  <si>
    <t>Capitalized Replacement Reserves</t>
  </si>
  <si>
    <t>Additional Capaital Replacement Reserves:</t>
  </si>
  <si>
    <t>Annual Replacement Reserves per Unit per Year</t>
  </si>
  <si>
    <t>Base Year</t>
  </si>
  <si>
    <t>Annual Expense Inflation Rate:</t>
  </si>
  <si>
    <t>Annual Reserves Inflation Rate:</t>
  </si>
  <si>
    <t>Escrow Interest Rate:</t>
  </si>
  <si>
    <t>PCNA Identified Replacements:</t>
  </si>
  <si>
    <t>Lender Adjustments:</t>
  </si>
  <si>
    <t>Anticipated Replacements:</t>
  </si>
  <si>
    <t>Inflation Factor:</t>
  </si>
  <si>
    <t>Adjusted(%) Replacements:</t>
  </si>
  <si>
    <t>Beginning Balance:</t>
  </si>
  <si>
    <t>Plus: Annual Deposits:</t>
  </si>
  <si>
    <t>Less: Replacements</t>
  </si>
  <si>
    <t>Plus: Escrow Interest</t>
  </si>
  <si>
    <t>Ending Balance:</t>
  </si>
  <si>
    <t>Owner Equity</t>
  </si>
  <si>
    <t>Acquisition</t>
  </si>
  <si>
    <t>Contractor Fees</t>
  </si>
  <si>
    <t>Environmental Abatement</t>
  </si>
  <si>
    <t>Syndication Fees</t>
  </si>
  <si>
    <t>INCOME LIMITS</t>
  </si>
  <si>
    <t>Household Size</t>
  </si>
  <si>
    <t>Studio</t>
  </si>
  <si>
    <t>1BR</t>
  </si>
  <si>
    <t>2BR</t>
  </si>
  <si>
    <t>3BR</t>
  </si>
  <si>
    <t>4BR</t>
  </si>
  <si>
    <t>AMI</t>
  </si>
  <si>
    <t>FMR</t>
  </si>
  <si>
    <t>Source:</t>
  </si>
  <si>
    <t>S8 Pay Standard</t>
  </si>
  <si>
    <t>Achievable Market</t>
  </si>
  <si>
    <t>GROSS RENT LIMITS</t>
  </si>
  <si>
    <t>RENT COMPARISON</t>
  </si>
  <si>
    <t>Bedrooms</t>
  </si>
  <si>
    <t>Net Rent</t>
  </si>
  <si>
    <t>Subject</t>
  </si>
  <si>
    <t>LIHTC</t>
  </si>
  <si>
    <t>Payment Standard</t>
  </si>
  <si>
    <t>Market</t>
  </si>
  <si>
    <t>% Diff</t>
  </si>
  <si>
    <t>% AMI</t>
  </si>
  <si>
    <t>Project County</t>
  </si>
  <si>
    <t>FIRST MORTGAGE</t>
  </si>
  <si>
    <t>Principal</t>
  </si>
  <si>
    <t>Amort</t>
  </si>
  <si>
    <t>Term</t>
  </si>
  <si>
    <t>Beg Bal</t>
  </si>
  <si>
    <t>Interest</t>
  </si>
  <si>
    <t>End Bal</t>
  </si>
  <si>
    <t>PRO FORMA COMPARISONS</t>
  </si>
  <si>
    <t>ASSUMPTIONS</t>
  </si>
  <si>
    <t>Current Pro Forma</t>
  </si>
  <si>
    <t>Alternative 1</t>
  </si>
  <si>
    <t>Alternative 2</t>
  </si>
  <si>
    <t>Alternative 3</t>
  </si>
  <si>
    <t>Notes</t>
  </si>
  <si>
    <t>Price per Unit</t>
  </si>
  <si>
    <t>Repairs per Unit</t>
  </si>
  <si>
    <t>Average Rent</t>
  </si>
  <si>
    <t>Other Income per Unit</t>
  </si>
  <si>
    <t>Vacancy Rate</t>
  </si>
  <si>
    <t>M&amp;O Costs per Unit</t>
  </si>
  <si>
    <t>Taxes per Unit</t>
  </si>
  <si>
    <t>Appraisal Cap Rate</t>
  </si>
  <si>
    <t>Max LTV</t>
  </si>
  <si>
    <t>Max LTC</t>
  </si>
  <si>
    <t>Max DCR</t>
  </si>
  <si>
    <t>1st Mortgage Interest Rate</t>
  </si>
  <si>
    <t>1st Mortgage Amortization</t>
  </si>
  <si>
    <t>1st Mortgage Origination</t>
  </si>
  <si>
    <t>Mezz Interest Rate</t>
  </si>
  <si>
    <t>Mezz Amortization</t>
  </si>
  <si>
    <t>Mezzz Origination</t>
  </si>
  <si>
    <t>Other Costs</t>
  </si>
  <si>
    <t>City Contribution per Unit</t>
  </si>
  <si>
    <t>SOURCES</t>
  </si>
  <si>
    <t>City Contribution</t>
  </si>
  <si>
    <t>GMHF Mezzanine Loan</t>
  </si>
  <si>
    <t>Remaining Gap</t>
  </si>
  <si>
    <t>USES</t>
  </si>
  <si>
    <t>Repairs</t>
  </si>
  <si>
    <t>Due Diligence &amp; Closing</t>
  </si>
  <si>
    <t>OPERATING BUDGET</t>
  </si>
  <si>
    <t>Potential Rental Income</t>
  </si>
  <si>
    <t>Potential Other Income</t>
  </si>
  <si>
    <t>Vacancy Loss</t>
  </si>
  <si>
    <t>M&amp;O Costs</t>
  </si>
  <si>
    <t>Taxes</t>
  </si>
  <si>
    <t>NOI</t>
  </si>
  <si>
    <t>1st Mortgage Debt Service</t>
  </si>
  <si>
    <t>Mezzanine Debt Service</t>
  </si>
  <si>
    <t>1st Mortgage DCR</t>
  </si>
  <si>
    <t>Total DCR</t>
  </si>
  <si>
    <t>ROI - Year 1</t>
  </si>
  <si>
    <t>Appraised Value</t>
  </si>
  <si>
    <t>Max Mortgage - LTV</t>
  </si>
  <si>
    <t>Max Mortgage - LTC</t>
  </si>
  <si>
    <t>Max Mortgage - DCR</t>
  </si>
  <si>
    <t>Regular Payment Amount</t>
  </si>
  <si>
    <t>First Stabilized Yr</t>
  </si>
  <si>
    <t>PV Discount Rate to value TIF</t>
  </si>
  <si>
    <t>Indicated Value of TIF</t>
  </si>
  <si>
    <t>Max NOI Loan Based on Debt Coverage</t>
  </si>
  <si>
    <t>NOI Mortgage Based on Value</t>
  </si>
  <si>
    <t>NOI Mortgage Based on Debt Coverage</t>
  </si>
  <si>
    <t>TIF Mortgage Included in 1st Mortgage</t>
  </si>
  <si>
    <t>Appraisal Value of TIF</t>
  </si>
  <si>
    <t>Maximum Loan to Value</t>
  </si>
  <si>
    <t>Concluded Value of TIF</t>
  </si>
  <si>
    <t>Concluded Value of NOI</t>
  </si>
  <si>
    <t>TIF Loan Sizing Calculations</t>
  </si>
  <si>
    <t>Annual TIF Revenue</t>
  </si>
  <si>
    <t>TIF Amortization (years)</t>
  </si>
  <si>
    <t>TIF Mortgage Based on Debt Coverage</t>
  </si>
  <si>
    <t>Yes</t>
  </si>
  <si>
    <t>No</t>
  </si>
  <si>
    <t>Loan Amount Override</t>
  </si>
  <si>
    <t>1st</t>
  </si>
  <si>
    <t>Payment Frequency</t>
  </si>
  <si>
    <t>Monthly</t>
  </si>
  <si>
    <t>Quarterly</t>
  </si>
  <si>
    <t>Annually</t>
  </si>
  <si>
    <t>Pmts/yr</t>
  </si>
  <si>
    <t>Bi-Annually</t>
  </si>
  <si>
    <t>TIF District - Remaining # Payments</t>
  </si>
  <si>
    <t># Payments/Year</t>
  </si>
  <si>
    <t>Calculated Payment</t>
  </si>
  <si>
    <t>Interest Only Periods</t>
  </si>
  <si>
    <t>Period #</t>
  </si>
  <si>
    <t>Month #</t>
  </si>
  <si>
    <t>Year #</t>
  </si>
  <si>
    <t>Interest Only Payment</t>
  </si>
  <si>
    <t>TIF Loan Am (Incl in 1st Mortgage)</t>
  </si>
  <si>
    <t>Reg Pmt</t>
  </si>
  <si>
    <t>Tot Paid</t>
  </si>
  <si>
    <t>TIF Mortgage</t>
  </si>
  <si>
    <t>MEZZANINE 2ND MORTGAGE SIZING CALCULATIONS</t>
  </si>
  <si>
    <t>2nd Mortgage based on Value</t>
  </si>
  <si>
    <t>2nd Mortgage based on Debt Cover</t>
  </si>
  <si>
    <t>Maximum Mezzanine Loan</t>
  </si>
  <si>
    <t>Less First Mortgage + TIF</t>
  </si>
  <si>
    <t>Income Available for Debt Service (Incl TIF)</t>
  </si>
  <si>
    <t>Income Available for Debt Service after senior pmts</t>
  </si>
  <si>
    <t>Less 1st Mortgage and TIF Debt Service</t>
  </si>
  <si>
    <t>Equals Income Available for Mezz Debt Service</t>
  </si>
  <si>
    <t>Other senior debt service</t>
  </si>
  <si>
    <t>Maximum Total Must Pay Debt</t>
  </si>
  <si>
    <t>Rent Limit (% AMI)</t>
  </si>
  <si>
    <t>Date</t>
  </si>
  <si>
    <t>Reviewed By</t>
  </si>
  <si>
    <t>Description</t>
  </si>
  <si>
    <t>Wes Johnson</t>
  </si>
  <si>
    <t>John Rocker</t>
  </si>
  <si>
    <t>Removed TIF from 1st mortgage sizing</t>
  </si>
  <si>
    <t>Added interest-only period to 1st, TIF, and Mezz options</t>
  </si>
  <si>
    <t>Added 1st Stabilized Year field - historic years update automatically based on</t>
  </si>
  <si>
    <t>Added Trend of past 3 years to 1st stabilized year for analysis/comparison</t>
  </si>
  <si>
    <t>Planned operating budget defaults to trended 1st stabilized year</t>
  </si>
  <si>
    <t>Added TIF Loan as separate loan sizing based on LTV and Debt Cover</t>
  </si>
  <si>
    <t>Added Mezz 2nd Mortgage loan sizing based on LTV and Debt Cover</t>
  </si>
  <si>
    <t>Updated default loan sizing parameters to match current underwriting standards</t>
  </si>
  <si>
    <t>Separated the TIF loan from 1st mortgage in proposed debt section</t>
  </si>
  <si>
    <t>PROPOSED DEBT</t>
  </si>
  <si>
    <t>Updated proposed debt to default to GMHF's loan sizing analysis (can be overridden)</t>
  </si>
  <si>
    <t>Updated amortization schedules to include TIF, Mezzanine, and interest only period</t>
  </si>
  <si>
    <t>Updated cash flow tab to show debt service based on amortization schedules (to include I/O period)</t>
  </si>
  <si>
    <t>Updated cash flow tab to $0 out the debt service if loan matures prior to Year 15</t>
  </si>
  <si>
    <t>Changes Made by</t>
  </si>
  <si>
    <t>Added ability to include/exclude the various mortgages</t>
  </si>
  <si>
    <t>Cash Flow tab - $0 for temp income if TIF payments expire during the year.</t>
  </si>
  <si>
    <t>Last Yr of History</t>
  </si>
  <si>
    <t>Op Exp - Reserves-Mgmt Fee</t>
  </si>
  <si>
    <t>TIF Loan - Refinance Remaining Payments</t>
  </si>
  <si>
    <t>Refinancing Analysis</t>
  </si>
  <si>
    <t>Existing Debt</t>
  </si>
  <si>
    <t>Year of Refinance</t>
  </si>
  <si>
    <t>Other Refinancing Costs</t>
  </si>
  <si>
    <t>New First Mortgage</t>
  </si>
  <si>
    <t>New TIF Loan</t>
  </si>
  <si>
    <t>Total Sources for Refinance</t>
  </si>
  <si>
    <t>Excess (Deficiency) of Refi Proceeds</t>
  </si>
  <si>
    <t>Additional Debt Outstanding @ Refi</t>
  </si>
  <si>
    <t>Reserves/Cash Available for Refinance</t>
  </si>
  <si>
    <t>TIF Loan</t>
  </si>
  <si>
    <t>Total Existing Debt to Refinance</t>
  </si>
  <si>
    <t>New Debt for Refinancing</t>
  </si>
  <si>
    <t>Added Refinancing Analysis tab</t>
  </si>
  <si>
    <t>Updated Stress Test - management fee inflates based on rental revenue</t>
  </si>
  <si>
    <t>Capitalization Rate @ Refi</t>
  </si>
  <si>
    <t>Maximim Loan to Value @ Refi</t>
  </si>
  <si>
    <t>TIF District - Remaining # Payments @ Refi</t>
  </si>
  <si>
    <t>Yellow Medicine</t>
  </si>
  <si>
    <t>Wright</t>
  </si>
  <si>
    <t>Winona</t>
  </si>
  <si>
    <t>Wilkin</t>
  </si>
  <si>
    <t>Watonwan</t>
  </si>
  <si>
    <t>Washington</t>
  </si>
  <si>
    <t>Waseca</t>
  </si>
  <si>
    <t>Wadena</t>
  </si>
  <si>
    <t>Wabasha</t>
  </si>
  <si>
    <t>Traverse</t>
  </si>
  <si>
    <t>Todd</t>
  </si>
  <si>
    <t>Swift</t>
  </si>
  <si>
    <t>Stevens</t>
  </si>
  <si>
    <t>Steele</t>
  </si>
  <si>
    <t>Stearns</t>
  </si>
  <si>
    <t>Sibley</t>
  </si>
  <si>
    <t>Sherburne</t>
  </si>
  <si>
    <t>Scott</t>
  </si>
  <si>
    <t>St. Louis</t>
  </si>
  <si>
    <t>Roseau</t>
  </si>
  <si>
    <t>Rock</t>
  </si>
  <si>
    <t>Rice</t>
  </si>
  <si>
    <t>Renville</t>
  </si>
  <si>
    <t>Redwood</t>
  </si>
  <si>
    <t>Red Lake</t>
  </si>
  <si>
    <t>Ramsey</t>
  </si>
  <si>
    <t>Pope</t>
  </si>
  <si>
    <t>Polk</t>
  </si>
  <si>
    <t>Pipestone</t>
  </si>
  <si>
    <t>Pine</t>
  </si>
  <si>
    <t>Pennington</t>
  </si>
  <si>
    <t>Otter Tail</t>
  </si>
  <si>
    <t>Olmsted</t>
  </si>
  <si>
    <t>Norman</t>
  </si>
  <si>
    <t>Nobles</t>
  </si>
  <si>
    <t>Nicollet</t>
  </si>
  <si>
    <t>Murray</t>
  </si>
  <si>
    <t>Mower</t>
  </si>
  <si>
    <t>Morrison</t>
  </si>
  <si>
    <t>Mille Lacs</t>
  </si>
  <si>
    <t>Meeker</t>
  </si>
  <si>
    <t>Martin</t>
  </si>
  <si>
    <t>Marshall</t>
  </si>
  <si>
    <t>Mahnomen</t>
  </si>
  <si>
    <t>McLeod</t>
  </si>
  <si>
    <t>Lyon</t>
  </si>
  <si>
    <t>Lincoln</t>
  </si>
  <si>
    <t>Le Sueur</t>
  </si>
  <si>
    <t>Lake of the Woods</t>
  </si>
  <si>
    <t>Lake</t>
  </si>
  <si>
    <t>Lac qui Parle</t>
  </si>
  <si>
    <t>Koochiching</t>
  </si>
  <si>
    <t>Kittson</t>
  </si>
  <si>
    <t>Kandiyohi</t>
  </si>
  <si>
    <t>Kanabec</t>
  </si>
  <si>
    <t>Jackson</t>
  </si>
  <si>
    <t>Itasca</t>
  </si>
  <si>
    <t>Isanti</t>
  </si>
  <si>
    <t>Hubbard</t>
  </si>
  <si>
    <t>Houston</t>
  </si>
  <si>
    <t>Hennepin</t>
  </si>
  <si>
    <t>Grant</t>
  </si>
  <si>
    <t>Goodhue</t>
  </si>
  <si>
    <t>Freeborn</t>
  </si>
  <si>
    <t>Fillmore</t>
  </si>
  <si>
    <t>Faribault</t>
  </si>
  <si>
    <t>Douglas</t>
  </si>
  <si>
    <t>Dodge</t>
  </si>
  <si>
    <t>Dakota</t>
  </si>
  <si>
    <t>Crow Wing</t>
  </si>
  <si>
    <t>Cottonwood</t>
  </si>
  <si>
    <t>Cook</t>
  </si>
  <si>
    <t>Clearwater</t>
  </si>
  <si>
    <t>Clay</t>
  </si>
  <si>
    <t>Chisago</t>
  </si>
  <si>
    <t>Chippewa</t>
  </si>
  <si>
    <t>Cass</t>
  </si>
  <si>
    <t>Carver</t>
  </si>
  <si>
    <t>Carlton</t>
  </si>
  <si>
    <t>Brown</t>
  </si>
  <si>
    <t>Blue Earth</t>
  </si>
  <si>
    <t>Big Stone</t>
  </si>
  <si>
    <t>Benton</t>
  </si>
  <si>
    <t>Beltrami</t>
  </si>
  <si>
    <t>Becker</t>
  </si>
  <si>
    <t>Anoka</t>
  </si>
  <si>
    <t>Aitkin</t>
  </si>
  <si>
    <t>county_town_name</t>
  </si>
  <si>
    <t>Interest Only Period (MONTHS)</t>
  </si>
  <si>
    <t>Changed interest-only period from years to months</t>
  </si>
  <si>
    <t>Changed lookup formula for NOI and TIF revenue on refinancing tab so that rows can be added by the user to the cash flow tab without having to update formulas.</t>
  </si>
  <si>
    <t>Replacement Reserves</t>
  </si>
  <si>
    <t>Appraisal</t>
  </si>
  <si>
    <t>Updated to use 2020 rent limits</t>
  </si>
  <si>
    <t>Operating Reserves</t>
  </si>
  <si>
    <t>Debt Service Reserves</t>
  </si>
  <si>
    <t>3rd</t>
  </si>
  <si>
    <t>2nd</t>
  </si>
  <si>
    <t>TIF</t>
  </si>
  <si>
    <t>Mark 'x" to include in calculation in cash flow</t>
  </si>
  <si>
    <t>Lesser of Two Mortgage Amounts</t>
  </si>
  <si>
    <t xml:space="preserve">Interest Rate </t>
  </si>
  <si>
    <t>Property</t>
  </si>
  <si>
    <t>Total # Units</t>
  </si>
  <si>
    <t>Projected Real Estate Taxes</t>
  </si>
  <si>
    <t>Assessment Year</t>
  </si>
  <si>
    <t>Year of Assessment</t>
  </si>
  <si>
    <t>Name of Project</t>
  </si>
  <si>
    <t>1. Assessor's Total Value</t>
  </si>
  <si>
    <t>$/unit</t>
  </si>
  <si>
    <t>Affordable Units</t>
  </si>
  <si>
    <t>Market Rate Units</t>
  </si>
  <si>
    <t>Total Units</t>
  </si>
  <si>
    <t>% Market Rate</t>
  </si>
  <si>
    <t>% Affordable</t>
  </si>
  <si>
    <t>For Taxes Payable in:</t>
  </si>
  <si>
    <t>For Taxes Payable in</t>
  </si>
  <si>
    <t>2. Tax Classification Analysis</t>
  </si>
  <si>
    <t>2. Base Real Estate Taxes</t>
  </si>
  <si>
    <t>Tier 1 Value/unit for Assessment Year</t>
  </si>
  <si>
    <t>Annual Waste Mgmt Fee (if any)</t>
  </si>
  <si>
    <t>EMV by Tax Classification Rate</t>
  </si>
  <si>
    <t>Tax Class Rate</t>
  </si>
  <si>
    <t>Source: https://www.revenue.state.mn.us/4d-low-income-rental-housing-first-tier-valuation-limit</t>
  </si>
  <si>
    <t>Total Base Real Estate Taxes</t>
  </si>
  <si>
    <t>4a Market Rate - 1.25%</t>
  </si>
  <si>
    <t>Annual Special Assessments (if any)</t>
  </si>
  <si>
    <t>4d Low-Income (&lt;= Tier 1 Value) - 0.75%</t>
  </si>
  <si>
    <t>Total Indicated Tax Bill</t>
  </si>
  <si>
    <t>4d Low-Income (&gt; Tier 1 Value) - 0.25%</t>
  </si>
  <si>
    <t>3. Tax Classification Analysis</t>
  </si>
  <si>
    <t>Total Value of all Tax Classes</t>
  </si>
  <si>
    <t>Weighted Tax Classification Rate</t>
  </si>
  <si>
    <t>Blended Tax Capacity based on Classification</t>
  </si>
  <si>
    <t>Plus Annual Assessments, (if any)</t>
  </si>
  <si>
    <t>Equals Total Projected Real Estate Tax Bill</t>
  </si>
  <si>
    <t>Affordable Units Qualifying for 4d</t>
  </si>
  <si>
    <t>Market Rate Units (4a units)</t>
  </si>
  <si>
    <t>Comparable or Historical Real Estate Tax</t>
  </si>
  <si>
    <t>Historical or Comparable Tax</t>
  </si>
  <si>
    <t>Concluded Property Value (underwriting)</t>
  </si>
  <si>
    <t>Sale Price</t>
  </si>
  <si>
    <t>GMHF real estate tax analysis</t>
  </si>
  <si>
    <t>1st Tier  Valuation Limit</t>
  </si>
  <si>
    <t>Utility</t>
  </si>
  <si>
    <t>Utility Type</t>
  </si>
  <si>
    <t>SRO no Kitchen</t>
  </si>
  <si>
    <t>SRO with Kitchen</t>
  </si>
  <si>
    <t>0BR/Eff</t>
  </si>
  <si>
    <t>5BR</t>
  </si>
  <si>
    <t>6 BR</t>
  </si>
  <si>
    <t>Heating</t>
  </si>
  <si>
    <t>Cooking</t>
  </si>
  <si>
    <t>Water Heating</t>
  </si>
  <si>
    <t>Electric</t>
  </si>
  <si>
    <t>A/C</t>
  </si>
  <si>
    <t>Water/Sewer</t>
  </si>
  <si>
    <t>Service Fee</t>
  </si>
  <si>
    <t>UTILITY ALLOWANCE</t>
  </si>
  <si>
    <t>RENT ANALYSIS</t>
  </si>
  <si>
    <t>OPERATING ANALYSIS</t>
  </si>
  <si>
    <t xml:space="preserve">ACQUISITION </t>
  </si>
  <si>
    <t>Holding Costs</t>
  </si>
  <si>
    <t>Acquisition Total</t>
  </si>
  <si>
    <t>Residential</t>
  </si>
  <si>
    <t>Construction Contract Amount</t>
  </si>
  <si>
    <t>Contingency</t>
  </si>
  <si>
    <t>Total Construction Costs</t>
  </si>
  <si>
    <t>ENVIRONMENTAL ABATEMENT</t>
  </si>
  <si>
    <t>Abatement Total</t>
  </si>
  <si>
    <t>Marketing</t>
  </si>
  <si>
    <t>Payment &amp; Performance Bond Premium</t>
  </si>
  <si>
    <t>Building Permit(s)</t>
  </si>
  <si>
    <t>Environmental Assessment</t>
  </si>
  <si>
    <t>Furnishings and Equipment</t>
  </si>
  <si>
    <t>Other Fees</t>
  </si>
  <si>
    <t>DEVELOPER FEE</t>
  </si>
  <si>
    <t>Processing Agent</t>
  </si>
  <si>
    <t>Owner's Construction Representative</t>
  </si>
  <si>
    <t>Developer Fee Total</t>
  </si>
  <si>
    <t>Max=</t>
  </si>
  <si>
    <t>Taxes During Construction</t>
  </si>
  <si>
    <t>Title and Recording</t>
  </si>
  <si>
    <t>RESERVES</t>
  </si>
  <si>
    <t>Total Reserves</t>
  </si>
  <si>
    <t>TOTAL DEVELOPMENT COSTS</t>
  </si>
  <si>
    <t>Total Development Costs</t>
  </si>
  <si>
    <t>Total Costs</t>
  </si>
  <si>
    <t>Comments</t>
  </si>
  <si>
    <t>Construction/Rehab Subtotal</t>
  </si>
  <si>
    <t>Architect</t>
  </si>
  <si>
    <t>Local/City Fees</t>
  </si>
  <si>
    <t>Soil Borings/Geotechnical</t>
  </si>
  <si>
    <t>Developer's Legal Fees</t>
  </si>
  <si>
    <t>Purchase Price</t>
  </si>
  <si>
    <t>Insurance During Construction</t>
  </si>
  <si>
    <t>GMHF Origination Fees</t>
  </si>
  <si>
    <t>GMHF Construction Interest</t>
  </si>
  <si>
    <t>First Mortgage Lender Fees</t>
  </si>
  <si>
    <t>Construction Lender Interest</t>
  </si>
  <si>
    <t>Construction Lender Fees</t>
  </si>
  <si>
    <t>First Mortgage Lender Origination Fees</t>
  </si>
  <si>
    <t>Construction Lender Origination Fees</t>
  </si>
  <si>
    <t>GMHF Legal Fees</t>
  </si>
  <si>
    <t>Other GMHF Fees</t>
  </si>
  <si>
    <t>GMHF Inspection Fee</t>
  </si>
  <si>
    <t>Construction Lender Inspection Fee</t>
  </si>
  <si>
    <t>GMHF Financing Fees &amp; Interest Total</t>
  </si>
  <si>
    <t>Energy Audit/Consultant Costs</t>
  </si>
  <si>
    <t>Professional Fees &amp; Soft Costs Total</t>
  </si>
  <si>
    <t>PROFESSIONAL FEES &amp; SOFT COSTS</t>
  </si>
  <si>
    <t>Other Financing Costs</t>
  </si>
  <si>
    <t>GMHF FINANCING FEES &amp; INTEREST DURING CONSTRUCTION</t>
  </si>
  <si>
    <t>OTHER FINANCING COSTS &amp; INTEREST DURING CONSTRUCTION</t>
  </si>
  <si>
    <t>Total Other Financing Costs &amp; Interest During Construction</t>
  </si>
  <si>
    <t>TITLE &amp; CLOSING COSTS</t>
  </si>
  <si>
    <t>Operating Reserve</t>
  </si>
  <si>
    <t>Debt Service Reserve</t>
  </si>
  <si>
    <t>Replacement Reserve</t>
  </si>
  <si>
    <t>Total Title &amp; Closing Costs</t>
  </si>
  <si>
    <t>CONSTRUCTION/REHABILITATION</t>
  </si>
  <si>
    <t>Survey</t>
  </si>
  <si>
    <t>GMHF requires appraisal</t>
  </si>
  <si>
    <t>Capital Needs Assessment Fee</t>
  </si>
  <si>
    <t>GMHF requires CNA for acquisition/rehab</t>
  </si>
  <si>
    <t>Appraisal/Market Study Fee</t>
  </si>
  <si>
    <t>Expand row 39-41 for additional dev fee items</t>
  </si>
  <si>
    <t>*Expand columns for analysis worksheets</t>
  </si>
  <si>
    <t>INPUT TOTALS FOR COMPARABLE/HISTORICAL OPERATING DATA BELOW</t>
  </si>
  <si>
    <t>Expand columns O-S for Notes area</t>
  </si>
  <si>
    <t>Construction/Rehabilitation</t>
  </si>
  <si>
    <t>Professional Fees &amp; Soft Costs</t>
  </si>
  <si>
    <t>Other GMHF Financing Costs</t>
  </si>
  <si>
    <t>Title &amp; Closing Costs</t>
  </si>
  <si>
    <t>Other Reserves</t>
  </si>
  <si>
    <t>Other Lender Construction Interest</t>
  </si>
  <si>
    <t>Expand row 51-59 for Other Financing Costs breakout</t>
  </si>
  <si>
    <t>Controllable Expense Growth Rate</t>
  </si>
  <si>
    <t>Uncontrollable Expense Growth Rate</t>
  </si>
  <si>
    <t>Developer</t>
  </si>
  <si>
    <t>Manager</t>
  </si>
  <si>
    <t>Contractor</t>
  </si>
  <si>
    <t>Title Company</t>
  </si>
  <si>
    <t>Guarantor</t>
  </si>
  <si>
    <t>Committed</t>
  </si>
  <si>
    <t>Amount</t>
  </si>
  <si>
    <t>As-Unrestricted Appraisal Value</t>
  </si>
  <si>
    <t>As-Restricted Appraisal Value</t>
  </si>
  <si>
    <t>Equals Max TIF Loan (or TIF portion of 1st Mtg)</t>
  </si>
  <si>
    <t>Max Loan (including 1st Mtg, if applicable)</t>
  </si>
  <si>
    <t>Less First Mortgage Amount (if TIF is incuded in 1st Mtg)</t>
  </si>
  <si>
    <t>Total Secured Value</t>
  </si>
  <si>
    <t>Concluded Value (include TIF, if applicable)</t>
  </si>
  <si>
    <t>Regular Payment Override</t>
  </si>
  <si>
    <t>3 months required by GMHF</t>
  </si>
  <si>
    <t>3 months held by GMHF</t>
  </si>
  <si>
    <t>Years of Rent/Exp Growth Prior to Year 1</t>
  </si>
  <si>
    <t>Budget</t>
  </si>
  <si>
    <t>Closing</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</si>
  <si>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</si>
  <si>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</si>
  <si>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</si>
  <si>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</si>
  <si>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</si>
  <si>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</si>
  <si>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</si>
  <si>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</si>
  <si>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</si>
  <si>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</si>
  <si>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</si>
  <si>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</si>
  <si>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</si>
  <si>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</si>
  <si>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</si>
  <si>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</si>
  <si>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</si>
  <si>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</si>
  <si>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</si>
  <si>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</si>
  <si>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</si>
  <si>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</si>
  <si>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</si>
  <si>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</si>
  <si>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Months 13+</t>
  </si>
  <si>
    <t>Use the collapse button to hide columns S:AD before printing</t>
  </si>
  <si>
    <t>Construction Schedule</t>
  </si>
  <si>
    <t>Over (Under) Budget</t>
  </si>
  <si>
    <t>Use the Expand button to un-hide columns S:AD to fill out months 13-24</t>
  </si>
  <si>
    <t>% Construction Complete</t>
  </si>
  <si>
    <t>Preliminary Uses</t>
  </si>
  <si>
    <t>Permanent Sources</t>
  </si>
  <si>
    <t>Total Permanent Sources</t>
  </si>
  <si>
    <t>Beginning Loan Balance</t>
  </si>
  <si>
    <t>Less Total Uses of Funds</t>
  </si>
  <si>
    <t>Preliminary Surplus/(Deficiency) of Funds for Month</t>
  </si>
  <si>
    <t>Less Construction Loan Repaid (Enter a Negative Number)</t>
  </si>
  <si>
    <t>Final Surplus/(Deficiency) of Funds for Month</t>
  </si>
  <si>
    <t>Construction Loan Draw Amt</t>
  </si>
  <si>
    <t>Ending Loan Balance</t>
  </si>
  <si>
    <t>Construction Loan #2</t>
  </si>
  <si>
    <t>GMHF Construction Loan</t>
  </si>
  <si>
    <t>Total Other Available During Month</t>
  </si>
  <si>
    <t>Total Sources Available During Month</t>
  </si>
  <si>
    <t>Months of surplus interest budgeted</t>
  </si>
  <si>
    <t>Enter Amount when Funds will be Disbursed</t>
  </si>
  <si>
    <t>Construction Period</t>
  </si>
  <si>
    <t>Post Construction</t>
  </si>
  <si>
    <t>Stabilization</t>
  </si>
  <si>
    <t>From
Cash Flow</t>
  </si>
  <si>
    <t>INTERIM SOURCES</t>
  </si>
  <si>
    <t>PERMANENT SOURCES</t>
  </si>
  <si>
    <t>During Construction</t>
  </si>
  <si>
    <t>End of Construction</t>
  </si>
  <si>
    <t>Total Construction Sources</t>
  </si>
  <si>
    <t>Total Perm Sources</t>
  </si>
  <si>
    <t>Total All Sources</t>
  </si>
  <si>
    <t>Surplus/(Shortfall) of Funds</t>
  </si>
  <si>
    <t>Total Interim Sources</t>
  </si>
  <si>
    <t>Appraisal Value of Real Estate</t>
  </si>
  <si>
    <t>Pro Forma Growth Rate - Expenses (Wtd Avg, excluding reserves)</t>
  </si>
  <si>
    <t>Max Loan based on TIF Value + Property Value</t>
  </si>
  <si>
    <t>Total Taxes Per Unit</t>
  </si>
  <si>
    <t>Math Checks</t>
  </si>
  <si>
    <t>Sources (this tab)</t>
  </si>
  <si>
    <t>Sources Check</t>
  </si>
  <si>
    <t>Uses (this tab)</t>
  </si>
  <si>
    <t>Uses (Dev Cost tab)</t>
  </si>
  <si>
    <t>Sources (Sources tab)</t>
  </si>
  <si>
    <t>Uses Check</t>
  </si>
  <si>
    <t>Rent Income (this tab)</t>
  </si>
  <si>
    <t>Rent Income (Housing Inc tab)</t>
  </si>
  <si>
    <t>Rent check</t>
  </si>
  <si>
    <t>Gross Income (this tab)</t>
  </si>
  <si>
    <t>Gross Income (Int &amp; Exp tab)</t>
  </si>
  <si>
    <t>Income Check</t>
  </si>
  <si>
    <t>NOI (this tab)</t>
  </si>
  <si>
    <t>NOI (Inc &amp; Exp tab)</t>
  </si>
  <si>
    <t>NOI Check</t>
  </si>
  <si>
    <t>SPONSOR FINANCIALS</t>
  </si>
  <si>
    <t>SPONSOR REAL ESTATE PORTFOLIO METRICS</t>
  </si>
  <si>
    <t>Overall Debt Coverage Ratio</t>
  </si>
  <si>
    <t>Contingent Liabilities</t>
  </si>
  <si>
    <t>Total Annual Cashflow from Real Estate Owned</t>
  </si>
  <si>
    <t>Total # of Rental Units</t>
  </si>
  <si>
    <t>Total # of Properties</t>
  </si>
  <si>
    <t>Operating Comparison</t>
  </si>
  <si>
    <t xml:space="preserve"> </t>
  </si>
  <si>
    <t>Proforma</t>
  </si>
  <si>
    <t>ADDITIONAL TABLES</t>
  </si>
  <si>
    <t>Date&gt;&gt;</t>
  </si>
  <si>
    <t>Milestone&gt;&gt;</t>
  </si>
  <si>
    <t>Math Check versus Planned Uses</t>
  </si>
  <si>
    <t>`</t>
  </si>
  <si>
    <t>Math Check versus Planned Sources</t>
  </si>
  <si>
    <t>Information from Underwritten Cashflow Projection</t>
  </si>
  <si>
    <t>Select "Total" or "Per Unit" for each comparison to left</t>
  </si>
  <si>
    <t>Form 8609</t>
  </si>
  <si>
    <t>Unit Mix</t>
  </si>
  <si>
    <t>Affordability</t>
  </si>
  <si>
    <t>% Units</t>
  </si>
  <si>
    <t>Rent Limit</t>
  </si>
  <si>
    <t>Income Limit</t>
  </si>
  <si>
    <t>Percent AMI</t>
  </si>
  <si>
    <t>CMF Eligible Units</t>
  </si>
  <si>
    <t>Total CMF Eligible</t>
  </si>
  <si>
    <t>50% AMI w/o RA</t>
  </si>
  <si>
    <t>80% AMI w/o RA</t>
  </si>
  <si>
    <t>Rent Restriction</t>
  </si>
  <si>
    <t>Census Tract</t>
  </si>
  <si>
    <t>1 month pre-paid for acq/rehab 1st mortgage</t>
  </si>
  <si>
    <t>1st Month Prepaid Interest</t>
  </si>
  <si>
    <t>Times Local Tax Rate</t>
  </si>
  <si>
    <t>Total Local Taxes</t>
  </si>
  <si>
    <t>3. Calculation of Estimated Local Taxes</t>
  </si>
  <si>
    <t>Times Assessed Value of Market Rate Units</t>
  </si>
  <si>
    <t>Subtotal Affordable Unit Local Taxes (based on tax capacity)</t>
  </si>
  <si>
    <t>Subtotal Market Rate Unit Local Taxes (based on tax capacity)</t>
  </si>
  <si>
    <t>Times Affordable Unit Tax capacity</t>
  </si>
  <si>
    <t>4. Total Estimated Real Estate Tax</t>
  </si>
  <si>
    <t>Tax Capacity: Marke Rate Units</t>
  </si>
  <si>
    <t>Tax Capacity: Affordable Units</t>
  </si>
  <si>
    <t>Referendum Market Value Tax Rate x 100</t>
  </si>
  <si>
    <t>Total Referendum Market Value Taxes</t>
  </si>
  <si>
    <t>4. Calculation of Estimated Referendum Market Value Taxes</t>
  </si>
  <si>
    <t>Referendum Market Value Tax Rate</t>
  </si>
  <si>
    <t>Subtotal Market Rate Unit Referendum Market Value Taxes</t>
  </si>
  <si>
    <t>Subtotal Affordable Unit Referendum Market Value Taxes</t>
  </si>
  <si>
    <t>Extracted Tax Capacity Rate (SEE NOTE BELOW*)</t>
  </si>
  <si>
    <t>Term (mos)</t>
  </si>
  <si>
    <t>Term (yrs)</t>
  </si>
  <si>
    <t>Total Project Costs</t>
  </si>
  <si>
    <t>Less First Mortgage + TIF Loan</t>
  </si>
  <si>
    <t>Less other Senior Debt</t>
  </si>
  <si>
    <t>Equals Combined Subordinate &amp; Equity Financing</t>
  </si>
  <si>
    <t>Maximum % of Subordinate and Equity Financing</t>
  </si>
  <si>
    <t>Maximum Mezzanine Loan based on Split</t>
  </si>
  <si>
    <t>Cashflow Based 2nd Mortgage based on Split with Owner Equity</t>
  </si>
  <si>
    <t>Cashflow Based 2nd Mortgage based on Minimum Cash-on-Cash Return</t>
  </si>
  <si>
    <t>Minimum GMHF Cash-on-Cash Return (%)</t>
  </si>
  <si>
    <t>Maximum Mezzanine Loan based on Cash-on-Cash Return</t>
  </si>
  <si>
    <t>Cashflow Based 2nd Mortgage: Refinance Test Results</t>
  </si>
  <si>
    <t>Excess (Deficiency) as % of new 1st mortgage</t>
  </si>
  <si>
    <t>Excess of Refi Proceeds must be &gt;= 3% of new 1st mortgage</t>
  </si>
  <si>
    <t>% of Cashflow Paid to GMHF</t>
  </si>
  <si>
    <t>CASHFLOW BASED 2ND MORTGAGE SIZING CALCULATIONS</t>
  </si>
  <si>
    <t>Mark 'x" if Mezzanine Loan has cashflow based repayment terms and paid "below the line"</t>
  </si>
  <si>
    <t>Interest Type</t>
  </si>
  <si>
    <t>Fixed</t>
  </si>
  <si>
    <t>N/A</t>
  </si>
  <si>
    <t>Eligible Cashflow</t>
  </si>
  <si>
    <t>Cashflow After Distributions</t>
  </si>
  <si>
    <t>Must-Pay Debt Service</t>
  </si>
  <si>
    <t>Minimum Cashflow Payment to GMHF (all yrs)</t>
  </si>
  <si>
    <t>LP Asset Management Fee</t>
  </si>
  <si>
    <t>Deferred Developer Fee</t>
  </si>
  <si>
    <t>GMHF Mezzanine Loan Calculation</t>
  </si>
  <si>
    <t>Principal Outstanding</t>
  </si>
  <si>
    <t>Max Payment based on % of CF</t>
  </si>
  <si>
    <t>Payment Amount</t>
  </si>
  <si>
    <t>Interest Paid</t>
  </si>
  <si>
    <t>Principal Repaid (added)</t>
  </si>
  <si>
    <t>Exit Payment</t>
  </si>
  <si>
    <t>GMHF Cash-on-Cash Return</t>
  </si>
  <si>
    <t>Subordinate Prop. Management Fee</t>
  </si>
  <si>
    <t>Maximum Loan per Loan Sizing Analysis</t>
  </si>
  <si>
    <t>Max NOI Loan Based on Debt Coverage (N/A if Cashflow Based)</t>
  </si>
  <si>
    <t>Mezzanine/2nd Mortgage (cashflow pmts)</t>
  </si>
  <si>
    <t>Mezzanine/2nd Mortgage (fixed pmts)</t>
  </si>
  <si>
    <t>Row Index</t>
  </si>
  <si>
    <t>GMHF IRR Calculation</t>
  </si>
  <si>
    <t>Initial Investment</t>
  </si>
  <si>
    <t>Cashflow</t>
  </si>
  <si>
    <t>Refinance Proceeds</t>
  </si>
  <si>
    <t>Proceeds Available before Mezz Repayment</t>
  </si>
  <si>
    <t>Total Cashflows</t>
  </si>
  <si>
    <t>IRR</t>
  </si>
  <si>
    <t>Mark 'x" to include in cash flow tab</t>
  </si>
  <si>
    <t>Concluded Loan Amount based on GMHF Underwriting</t>
  </si>
  <si>
    <t>Excess Refi Proceeds at Yr 15 or maturity as % of new 1st mtg</t>
  </si>
  <si>
    <t>4d Low-Income (&gt; Tier 1 Value or &gt;=2024 year) - 0.25%</t>
  </si>
  <si>
    <t>Months:</t>
  </si>
  <si>
    <t>**Expand by clicking "+" to left to show Mezzanine Loan calculation</t>
  </si>
  <si>
    <r>
      <t xml:space="preserve">&gt;30% AMI </t>
    </r>
    <r>
      <rPr>
        <u/>
        <sz val="10"/>
        <color theme="1"/>
        <rFont val="Calibri"/>
        <family val="2"/>
        <scheme val="minor"/>
      </rPr>
      <t>with</t>
    </r>
    <r>
      <rPr>
        <sz val="10"/>
        <color theme="1"/>
        <rFont val="Calibri"/>
        <family val="2"/>
        <scheme val="minor"/>
      </rPr>
      <t xml:space="preserve"> Rental Assistance</t>
    </r>
  </si>
  <si>
    <r>
      <t xml:space="preserve">30% AMI </t>
    </r>
    <r>
      <rPr>
        <u/>
        <sz val="10"/>
        <color theme="1"/>
        <rFont val="Calibri"/>
        <family val="2"/>
        <scheme val="minor"/>
      </rPr>
      <t>with or without</t>
    </r>
    <r>
      <rPr>
        <sz val="10"/>
        <color theme="1"/>
        <rFont val="Calibri"/>
        <family val="2"/>
        <scheme val="minor"/>
      </rPr>
      <t xml:space="preserve"> RA</t>
    </r>
  </si>
  <si>
    <t>Ratio</t>
  </si>
  <si>
    <t>Average Affordability (% AMI)</t>
  </si>
  <si>
    <t>GMHF requires Phase I</t>
  </si>
  <si>
    <t>GMHF requires survey</t>
  </si>
  <si>
    <t>GMHF requires P&amp;P for construction</t>
  </si>
  <si>
    <t>Expand row 26-33 for additional professional fee items</t>
  </si>
  <si>
    <t>Expand rows 129-137 to show Mezzanine Cashflow Note calculations</t>
  </si>
  <si>
    <t>Expand rows 57-65 to show Mezzanine Cash Flow Loan Calculations</t>
  </si>
  <si>
    <t>Expand rows 67-81 to show TIF Loan Calculations</t>
  </si>
  <si>
    <t>1. Concluded Assessed Value</t>
  </si>
  <si>
    <t>Current Assessed Value</t>
  </si>
  <si>
    <t>Proforma Version: 10/17/2023</t>
  </si>
  <si>
    <t>Contact Name</t>
  </si>
  <si>
    <t>Contact Email</t>
  </si>
  <si>
    <t>Borrower Address Line 1</t>
  </si>
  <si>
    <t>Borrower Address Line 2</t>
  </si>
  <si>
    <t xml:space="preserve">Borrower Entity </t>
  </si>
  <si>
    <t>Women Owned or Led</t>
  </si>
  <si>
    <t>BIPOC Owned or Led</t>
  </si>
  <si>
    <t>Emerging Developer</t>
  </si>
  <si>
    <t>Fill out each tab before printing the summary proforma. Enter data in blue cells. All other cells are locked. A red triangle in the upper-right corner of a cell indicates help text. Hover over cell to read help text</t>
  </si>
  <si>
    <t>Tribal Owned and/or Served</t>
  </si>
  <si>
    <t>Access ID</t>
  </si>
  <si>
    <t>Locked Loan</t>
  </si>
  <si>
    <t>Loan #</t>
  </si>
  <si>
    <t>Staff</t>
  </si>
  <si>
    <t>Status</t>
  </si>
  <si>
    <t>City</t>
  </si>
  <si>
    <t># 30% Units</t>
  </si>
  <si>
    <t>PSH Units</t>
  </si>
  <si>
    <t>% 30-50%</t>
  </si>
  <si>
    <t>%  60%</t>
  </si>
  <si>
    <t>% 80%</t>
  </si>
  <si>
    <t>Current Loan Amount</t>
  </si>
  <si>
    <t>Loan Type</t>
  </si>
  <si>
    <t>GMHF Funding Source</t>
  </si>
  <si>
    <t>Project Type</t>
  </si>
  <si>
    <t>Rural</t>
  </si>
  <si>
    <t>Area of Economic Distress</t>
  </si>
  <si>
    <t>High Opportunity Area</t>
  </si>
  <si>
    <t>Low Income Community</t>
  </si>
  <si>
    <t>Owned by or Serving Tribes</t>
  </si>
  <si>
    <t>Owned or Led by Woman</t>
  </si>
  <si>
    <t>Owned or Led by Person of Color</t>
  </si>
  <si>
    <t>Emerging Devloper</t>
  </si>
  <si>
    <t>County</t>
  </si>
  <si>
    <t>Region</t>
  </si>
  <si>
    <t>Affordable TDC</t>
  </si>
  <si>
    <t>Total Private Funds</t>
  </si>
  <si>
    <t>Total Public Funds</t>
  </si>
  <si>
    <t>GMHF Loan with CMF Funds</t>
  </si>
  <si>
    <t>CMF Funds</t>
  </si>
  <si>
    <t>TDC Leverage</t>
  </si>
  <si>
    <t>Private Leverage</t>
  </si>
  <si>
    <t>Commit or Planned</t>
  </si>
  <si>
    <t>Commit Date</t>
  </si>
  <si>
    <t>Borrower Signed</t>
  </si>
  <si>
    <t>Loan
Repaid / MHFA</t>
  </si>
  <si>
    <t>Expected Repay Date</t>
  </si>
  <si>
    <t>Borrower Entity</t>
  </si>
  <si>
    <t>Entity Type</t>
  </si>
  <si>
    <t>Contact Person First Name</t>
  </si>
  <si>
    <t>Contact Person Last Name</t>
  </si>
  <si>
    <t>Workforce</t>
  </si>
  <si>
    <t>Senior</t>
  </si>
  <si>
    <t>Perm. Supportive Housing</t>
  </si>
  <si>
    <t>includes any Rental Assistance units with AMI &gt; 30%</t>
  </si>
  <si>
    <t>Loan Officer</t>
  </si>
  <si>
    <t>Nikki Mohs</t>
  </si>
  <si>
    <t>Megan Sanders</t>
  </si>
  <si>
    <t>Evan Uribe</t>
  </si>
  <si>
    <t>Public or Private</t>
  </si>
  <si>
    <t>Public</t>
  </si>
  <si>
    <t>Private</t>
  </si>
  <si>
    <t>CMF</t>
  </si>
  <si>
    <t>&lt;&lt;If a construction/bridge loan is selected as CMF, states "Construction/Bridge Loan." Otherwise "Amortizing First Mortgage. May be overridden if another loan type</t>
  </si>
  <si>
    <t xml:space="preserve">First </t>
  </si>
  <si>
    <t>Last</t>
  </si>
  <si>
    <t>Address Line 1</t>
  </si>
  <si>
    <t>Address Line 2</t>
  </si>
  <si>
    <t>Contact First Name</t>
  </si>
  <si>
    <t>Contact Last Name</t>
  </si>
  <si>
    <t>Contact Email Address</t>
  </si>
  <si>
    <t>Loan Officer Name</t>
  </si>
  <si>
    <t xml:space="preserve"> Loan Officer Phone Number</t>
  </si>
  <si>
    <t>Loan Officer Email</t>
  </si>
  <si>
    <t>Project Location</t>
  </si>
  <si>
    <t>Proposed TDC</t>
  </si>
  <si>
    <t>Housing Type</t>
  </si>
  <si>
    <t>Strategic Priorities</t>
  </si>
  <si>
    <t>Special Needs Units</t>
  </si>
  <si>
    <t>Number of units</t>
  </si>
  <si>
    <t xml:space="preserve"> LOI Expiration Date</t>
  </si>
  <si>
    <t>Prelim Expiration Date</t>
  </si>
  <si>
    <t>Commitment Expiration Date</t>
  </si>
  <si>
    <t>Due Diligence Deposit Amount</t>
  </si>
  <si>
    <t>Anticipated close date</t>
  </si>
  <si>
    <t>Loan 1 Loan Type</t>
  </si>
  <si>
    <t>Loan 1 Funding Source</t>
  </si>
  <si>
    <t>Loan 1 Loan exceptions</t>
  </si>
  <si>
    <t>Loan 1 Final Approval By</t>
  </si>
  <si>
    <t>Loan 1 Anticipated funding date</t>
  </si>
  <si>
    <t>Loan 1 Loan Amount</t>
  </si>
  <si>
    <t>Loan 1 LTV % (don't include % sign)</t>
  </si>
  <si>
    <t>Loan 1 DCR Min Yr 1</t>
  </si>
  <si>
    <t>Loan 1 DCR Min Yr 15</t>
  </si>
  <si>
    <t>Loan 1 Term</t>
  </si>
  <si>
    <t>Loan 1 Amortization</t>
  </si>
  <si>
    <t>Loan 1 Interest Rate Based On (30 Year Treasury, SOFR)</t>
  </si>
  <si>
    <t>Loan 1 Int Rate- Spread (don't use % sign)</t>
  </si>
  <si>
    <t>Loan 1 Origination Fee</t>
  </si>
  <si>
    <t>Loan 1 Collateral (1st, 2nd)</t>
  </si>
  <si>
    <t>Loan 1 Loan Guaranty</t>
  </si>
  <si>
    <t>Loan 1 Recourse (Non-recourse or full recourse)</t>
  </si>
  <si>
    <t>Loan 1 Disbursement</t>
  </si>
  <si>
    <t>Loan 1 Repayment</t>
  </si>
  <si>
    <t>Loan 1 Prepayment</t>
  </si>
  <si>
    <t>Loan 1 Reserves - Annual Deposit Amount</t>
  </si>
  <si>
    <t>Loan 1 Reserves - Operating no. of months</t>
  </si>
  <si>
    <t>Loan 1 Reserves - Debt Service no. of months</t>
  </si>
  <si>
    <t>Loan 1 Other Conditions</t>
  </si>
  <si>
    <t>Loan 2 Loan Type</t>
  </si>
  <si>
    <t>Loan 2 Funding Source</t>
  </si>
  <si>
    <t>Loan 2 Loan exceptions</t>
  </si>
  <si>
    <t>Loan 2 Anticipated funding date</t>
  </si>
  <si>
    <t>Loan 2 Final Approval By</t>
  </si>
  <si>
    <t>Loan 2 Loan Amount</t>
  </si>
  <si>
    <t>Loan 2 LTV % (don't include % sign)</t>
  </si>
  <si>
    <t>Loan 2 DCR Min Yr 1</t>
  </si>
  <si>
    <t>Loan 2 DCR Min Yr 15</t>
  </si>
  <si>
    <t>Loan 2 Term</t>
  </si>
  <si>
    <t>Loan 2 Amortization</t>
  </si>
  <si>
    <t>Loan 2 Interest Rate Based On (30 Year Treasury, SOFR)</t>
  </si>
  <si>
    <t>Loan 2 Int Rate- Spread (don't use % sign)</t>
  </si>
  <si>
    <t>Loan 2 Origination Fee</t>
  </si>
  <si>
    <t>Loan 2 Collateral (1st, 2nd)</t>
  </si>
  <si>
    <t>Loan 2 Loan Guaranty</t>
  </si>
  <si>
    <t>Loan 2 Recourse (Non-recourse or full recourse)</t>
  </si>
  <si>
    <t>Loan 2 Disbursement</t>
  </si>
  <si>
    <t>Loan 2 Repayment</t>
  </si>
  <si>
    <t>Loan 2 Prepayment</t>
  </si>
  <si>
    <t>Loan 2 Reserves - Annual Deposit Amount</t>
  </si>
  <si>
    <t>Loan 2 Reserves - Operating no. of months</t>
  </si>
  <si>
    <t>Loan 2 Reserves - Debt Service no. of months</t>
  </si>
  <si>
    <t>Loan 2 Other Conditions</t>
  </si>
  <si>
    <t>New Construction</t>
  </si>
  <si>
    <t>Creation of new affordable housing</t>
  </si>
  <si>
    <t>Construction/bridge loan</t>
  </si>
  <si>
    <t>Board of Directors</t>
  </si>
  <si>
    <t>Non-recourse</t>
  </si>
  <si>
    <t>Loan may be prepaid at any time without penalty</t>
  </si>
  <si>
    <t>Amortizing first mortgage</t>
  </si>
  <si>
    <t>Board Loan Committee</t>
  </si>
  <si>
    <t>Prepayment penalty within 10 years from closing date</t>
  </si>
  <si>
    <t>Loan Officer Phone Number</t>
  </si>
  <si>
    <t>Loan officer Email address</t>
  </si>
  <si>
    <t>651-350-7227</t>
  </si>
  <si>
    <t>wjohnson@gmhf.com</t>
  </si>
  <si>
    <t>651-350-7232</t>
  </si>
  <si>
    <t>nmohs@gmhf.com</t>
  </si>
  <si>
    <t>651-350-7221</t>
  </si>
  <si>
    <t>msanders@gmhf.com</t>
  </si>
  <si>
    <t>651-358-3806</t>
  </si>
  <si>
    <t>euribe@gmhf.com</t>
  </si>
  <si>
    <t>Final Approval</t>
  </si>
  <si>
    <t>Prepayment</t>
  </si>
  <si>
    <t>Staff/CEO Credit Committee</t>
  </si>
  <si>
    <t>Other [indicate in word doc]</t>
  </si>
  <si>
    <t>Recourse</t>
  </si>
  <si>
    <t>Full recourse</t>
  </si>
  <si>
    <t>Mezzanine loan</t>
  </si>
  <si>
    <t>Predevelopment loan</t>
  </si>
  <si>
    <t>Acquisition loan</t>
  </si>
  <si>
    <t>TIF loan</t>
  </si>
  <si>
    <t>Gap loan</t>
  </si>
  <si>
    <t>Single Family</t>
  </si>
  <si>
    <t>Single-family gap</t>
  </si>
  <si>
    <t>Permanent Supportive Housing</t>
  </si>
  <si>
    <t>Single-family construction</t>
  </si>
  <si>
    <t>Revolving construction loan</t>
  </si>
  <si>
    <t>Other [update field in word doc]</t>
  </si>
  <si>
    <t>Funding Source</t>
  </si>
  <si>
    <t>Acq/Rehab</t>
  </si>
  <si>
    <t>Refinance</t>
  </si>
  <si>
    <t>Preservation of existing affordable housing</t>
  </si>
  <si>
    <t>Preservation of federally-assisted affordable housing</t>
  </si>
  <si>
    <t>Prevent and end homelessness</t>
  </si>
  <si>
    <t>Equitable access to homeownership</t>
  </si>
  <si>
    <t>Hsg Type</t>
  </si>
  <si>
    <t>Interest rate</t>
  </si>
  <si>
    <t>30-Day Average SOFR</t>
  </si>
  <si>
    <t>30-Year Treasury Yield</t>
  </si>
  <si>
    <t>10-Year Treasury Yield</t>
  </si>
  <si>
    <t>Other - Indicate in Word Doc</t>
  </si>
  <si>
    <t>1% of loan amount</t>
  </si>
  <si>
    <t>Predevelopment Loan - Proposed Sources &amp; Uses - Draw Schedule</t>
  </si>
  <si>
    <t>Proposed Predevelopment Uses of Funds</t>
  </si>
  <si>
    <t>[Project 1 Name]</t>
  </si>
  <si>
    <t>[Project 2 Name]</t>
  </si>
  <si>
    <t>Total Budget</t>
  </si>
  <si>
    <t>[DATE]</t>
  </si>
  <si>
    <t>Earnest Money</t>
  </si>
  <si>
    <t>Architect Design</t>
  </si>
  <si>
    <t>Geotechnical</t>
  </si>
  <si>
    <t>Market Study</t>
  </si>
  <si>
    <t>Environmental</t>
  </si>
  <si>
    <t>Lender Third Party Cost Deposit</t>
  </si>
  <si>
    <t>Bond Deposit (refundable if not selected)</t>
  </si>
  <si>
    <t>Bond Application Fee</t>
  </si>
  <si>
    <t>Other…describe</t>
  </si>
  <si>
    <t>Proposed Predevelopment Sources of Funds</t>
  </si>
  <si>
    <t>Predevelopment Sources of funds</t>
  </si>
  <si>
    <t>GMHF Predevelopment Loan</t>
  </si>
  <si>
    <t>Instructions: Fill in the blue shaded cells; Column H should sum to $0 in all rows; Row 30 should sum to $0 in all columns.</t>
  </si>
  <si>
    <t>Reserved</t>
  </si>
  <si>
    <t>2024 MTSP Limits</t>
  </si>
  <si>
    <t>Federally-assisted housing</t>
  </si>
  <si>
    <t>Over (Under) Funded</t>
  </si>
  <si>
    <t># 50% Units (w/o rental assistance)</t>
  </si>
  <si>
    <t># 60% Units (w/o rental assistance)</t>
  </si>
  <si>
    <t># 80% Units (w/o rental assistance)</t>
  </si>
  <si>
    <t>Loans Maturing in next 5 years</t>
  </si>
  <si>
    <t>Asher Michels-Allen</t>
  </si>
  <si>
    <t>amichelsallen@gmhf.com</t>
  </si>
  <si>
    <t>**Note: Sponsor Financials for individual guarantors have their own template/workbook. This can be used for non-profit entity guarantors.</t>
  </si>
  <si>
    <t>Completion Date</t>
  </si>
  <si>
    <t>Completion Date Confidence Level</t>
  </si>
  <si>
    <t>(high, medium or low)</t>
  </si>
  <si>
    <t>linked to Post-Construction date on Flow of Funds</t>
  </si>
  <si>
    <t>Month 24</t>
  </si>
  <si>
    <t>Month 25</t>
  </si>
  <si>
    <t>Month 26</t>
  </si>
  <si>
    <t>Month 27</t>
  </si>
  <si>
    <t>Month 28</t>
  </si>
  <si>
    <t>Month 29</t>
  </si>
  <si>
    <t>Month 30</t>
  </si>
  <si>
    <t>651-350-7228</t>
  </si>
  <si>
    <t>median2025</t>
  </si>
  <si>
    <t>lim50_25p1</t>
  </si>
  <si>
    <t>lim50_25p2</t>
  </si>
  <si>
    <t>lim50_25p3</t>
  </si>
  <si>
    <t>lim50_25p4</t>
  </si>
  <si>
    <t>lim50_25p5</t>
  </si>
  <si>
    <t>lim50_25p6</t>
  </si>
  <si>
    <t>lim50_25p7</t>
  </si>
  <si>
    <t>lim50_25p8</t>
  </si>
  <si>
    <t>Lim60_25p1</t>
  </si>
  <si>
    <t>Lim60_25p2</t>
  </si>
  <si>
    <t>Lim60_25p3</t>
  </si>
  <si>
    <t>Lim60_25p4</t>
  </si>
  <si>
    <t>Lim60_25p5</t>
  </si>
  <si>
    <t>Lim60_25p6</t>
  </si>
  <si>
    <t>Lim60_25p7</t>
  </si>
  <si>
    <t>Lim60_25p8</t>
  </si>
  <si>
    <t>Bond Guarantee</t>
  </si>
  <si>
    <t>Capital Magnet Fund</t>
  </si>
  <si>
    <t>Revolving Loan Fund</t>
  </si>
  <si>
    <t>Loan 1 Second Funding Source (if applicable)</t>
  </si>
  <si>
    <t>Loan 2 Second Funding Source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</si>
</sst>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6" formatCode="&quot;$&quot;#,##0_);[Red]\(&quot;$&quot;#,##0\)"/>
    <numFmt numFmtId="44" formatCode="_(&quot;$&quot;* #,##0.00_);_(&quot;$&quot;* \(#,##0.00\);_(&quot;$&quot;* &quot;-&quot;??_);_(@_)"/>
    <numFmt numFmtId="43" formatCode="_(* #,##0.00_);_(* \(#,##0.00\);_(* &quot;-&quot;??_);_(@_)"/>
    <numFmt numFmtId="164" formatCode="_(* #,##0_);_(* \(#,##0\);_(* &quot;-&quot;??_);_(@_)"/>
    <numFmt numFmtId="165" formatCode="0.0%"/>
    <numFmt numFmtId="166" formatCode="mm/dd/yy;@"/>
    <numFmt numFmtId="167" formatCode="0.000%"/>
    <numFmt numFmtId="168" formatCode="_(&quot;$&quot;* #,##0_);_(&quot;$&quot;* \(#,##0\);_(&quot;$&quot;* &quot;-&quot;??_);_(@_)"/>
    <numFmt numFmtId="169" formatCode="&quot;$&quot;#,##0"/>
    <numFmt numFmtId="170" formatCode="&quot;$&quot;#,##0.00"/>
    <numFmt numFmtId="171" formatCode="###0;###0"/>
    <numFmt numFmtId="172" formatCode="_(* #,##0.00000_);_(* \(#,##0.00000\);_(* &quot;-&quot;??_);_(@_)"/>
    <numFmt numFmtId="173" formatCode="0.0"/>
    <numFmt numFmtId="174" formatCode="0_);\(0\)"/>
    <numFmt numFmtId="175" formatCode="#,##0.0"/>
    <numFmt numFmtId="176" formatCode="[$-409]mmmm\ d\,\ yyyy;@"/>
  </numFmts>
  <fonts count="76" x14ac:knownFonts="1">
    <font>
      <sz val="11"/>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1"/>
      <color theme="1"/>
      <name val="Calibri"/>
      <family val="2"/>
      <scheme val="minor"/>
    </font>
    <font>
      <sz val="9"/>
      <color indexed="81"/>
      <name val="Tahoma"/>
      <family val="2"/>
    </font>
    <font>
      <b/>
      <sz val="9"/>
      <color indexed="81"/>
      <name val="Tahoma"/>
      <family val="2"/>
    </font>
    <font>
      <b/>
      <sz val="10"/>
      <color theme="1"/>
      <name val="Calibri"/>
      <family val="2"/>
      <scheme val="minor"/>
    </font>
    <font>
      <b/>
      <sz val="11"/>
      <color theme="1"/>
      <name val="Calibri"/>
      <family val="2"/>
      <scheme val="minor"/>
    </font>
    <font>
      <b/>
      <sz val="14"/>
      <color theme="1"/>
      <name val="Calibri"/>
      <family val="2"/>
      <scheme val="minor"/>
    </font>
    <font>
      <sz val="8"/>
      <color theme="1"/>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
      <i/>
      <sz val="10"/>
      <color theme="1"/>
      <name val="Calibri"/>
      <family val="2"/>
      <scheme val="minor"/>
    </font>
    <font>
      <sz val="10"/>
      <name val="Calibri"/>
      <family val="2"/>
      <scheme val="minor"/>
    </font>
    <font>
      <b/>
      <sz val="11"/>
      <color theme="0"/>
      <name val="Calibri"/>
      <family val="2"/>
      <scheme val="minor"/>
    </font>
    <font>
      <b/>
      <i/>
      <sz val="10"/>
      <color theme="1"/>
      <name val="Calibri"/>
      <family val="2"/>
      <scheme val="minor"/>
    </font>
    <font>
      <i/>
      <sz val="11"/>
      <color theme="1"/>
      <name val="Calibri"/>
      <family val="2"/>
      <scheme val="minor"/>
    </font>
    <font>
      <i/>
      <sz val="11"/>
      <color rgb="FFFF0000"/>
      <name val="Calibri"/>
      <family val="2"/>
      <scheme val="minor"/>
    </font>
    <font>
      <b/>
      <sz val="9"/>
      <color theme="1"/>
      <name val="Calibri"/>
      <family val="2"/>
      <scheme val="minor"/>
    </font>
    <font>
      <sz val="9"/>
      <color theme="1"/>
      <name val="Calibri"/>
      <family val="2"/>
      <scheme val="minor"/>
    </font>
    <font>
      <sz val="11"/>
      <name val="Calibri"/>
      <family val="2"/>
      <scheme val="minor"/>
    </font>
    <font>
      <sz val="10"/>
      <color rgb="FF000000"/>
      <name val="Times New Roman"/>
      <family val="1"/>
    </font>
    <font>
      <sz val="10"/>
      <color indexed="8"/>
      <name val="Arial"/>
      <family val="2"/>
    </font>
    <font>
      <sz val="11"/>
      <color indexed="8"/>
      <name val="Calibri"/>
      <family val="2"/>
      <scheme val="minor"/>
    </font>
    <font>
      <sz val="10"/>
      <name val="Arial"/>
      <family val="2"/>
    </font>
    <font>
      <sz val="11"/>
      <color indexed="8"/>
      <name val="Calibri"/>
      <family val="2"/>
    </font>
    <font>
      <b/>
      <sz val="11"/>
      <name val="Calibri"/>
      <family val="2"/>
      <scheme val="minor"/>
    </font>
    <font>
      <b/>
      <sz val="11"/>
      <color indexed="8"/>
      <name val="Calibri"/>
      <family val="2"/>
      <scheme val="minor"/>
    </font>
    <font>
      <b/>
      <sz val="11"/>
      <color theme="3"/>
      <name val="Calibri"/>
      <family val="2"/>
      <scheme val="minor"/>
    </font>
    <font>
      <sz val="10"/>
      <color theme="3"/>
      <name val="Calibri"/>
      <family val="2"/>
      <scheme val="minor"/>
    </font>
    <font>
      <sz val="9"/>
      <name val="Calibri"/>
      <family val="2"/>
      <scheme val="minor"/>
    </font>
    <font>
      <i/>
      <sz val="8"/>
      <color theme="1"/>
      <name val="Calibri"/>
      <family val="2"/>
      <scheme val="minor"/>
    </font>
    <font>
      <sz val="11"/>
      <color rgb="FFFF0000"/>
      <name val="Calibri"/>
      <family val="2"/>
      <scheme val="minor"/>
    </font>
    <font>
      <b/>
      <sz val="10"/>
      <color indexed="8"/>
      <name val="Arial"/>
      <family val="2"/>
    </font>
    <font>
      <sz val="10"/>
      <color indexed="8"/>
      <name val="Calibri"/>
      <family val="2"/>
      <scheme val="minor"/>
    </font>
    <font>
      <b/>
      <sz val="10"/>
      <color indexed="8"/>
      <name val="Calibri"/>
      <family val="2"/>
      <scheme val="minor"/>
    </font>
    <font>
      <b/>
      <sz val="10"/>
      <name val="Calibri"/>
      <family val="2"/>
      <scheme val="minor"/>
    </font>
    <font>
      <b/>
      <sz val="10"/>
      <color rgb="FFFF0000"/>
      <name val="Calibri"/>
      <family val="2"/>
      <scheme val="minor"/>
    </font>
    <font>
      <sz val="10"/>
      <color rgb="FFFF0000"/>
      <name val="Calibri"/>
      <family val="2"/>
      <scheme val="minor"/>
    </font>
    <font>
      <sz val="8"/>
      <color rgb="FFFF0000"/>
      <name val="Calibri"/>
      <family val="2"/>
      <scheme val="minor"/>
    </font>
    <font>
      <b/>
      <sz val="10"/>
      <color theme="0"/>
      <name val="Calibri"/>
      <family val="2"/>
      <scheme val="minor"/>
    </font>
    <font>
      <i/>
      <sz val="8"/>
      <name val="Calibri"/>
      <family val="2"/>
      <scheme val="minor"/>
    </font>
    <font>
      <sz val="10"/>
      <color theme="3" tint="0.79998168889431442"/>
      <name val="Calibri"/>
      <family val="2"/>
      <scheme val="minor"/>
    </font>
    <font>
      <sz val="10"/>
      <color indexed="8"/>
      <name val="Helv"/>
    </font>
    <font>
      <b/>
      <sz val="9"/>
      <name val="Calibri"/>
      <family val="2"/>
      <scheme val="minor"/>
    </font>
    <font>
      <sz val="11"/>
      <color rgb="FF000000"/>
      <name val="Calibri"/>
      <family val="2"/>
    </font>
    <font>
      <u/>
      <sz val="10"/>
      <color theme="1"/>
      <name val="Calibri"/>
      <family val="2"/>
      <scheme val="minor"/>
    </font>
    <font>
      <u/>
      <sz val="11"/>
      <color theme="10"/>
      <name val="Calibri"/>
      <family val="2"/>
      <scheme val="minor"/>
    </font>
    <font>
      <u/>
      <sz val="10"/>
      <color theme="10"/>
      <name val="Calibri"/>
      <family val="2"/>
      <scheme val="minor"/>
    </font>
    <font>
      <sz val="11"/>
      <color theme="2"/>
      <name val="Calibri"/>
      <family val="2"/>
      <scheme val="minor"/>
    </font>
    <font>
      <b/>
      <sz val="11"/>
      <color theme="2" tint="-0.89999084444715716"/>
      <name val="Calibri"/>
      <family val="2"/>
      <scheme val="minor"/>
    </font>
    <font>
      <b/>
      <u/>
      <sz val="9"/>
      <color indexed="81"/>
      <name val="Tahoma"/>
      <family val="2"/>
    </font>
    <font>
      <b/>
      <sz val="8"/>
      <color indexed="81"/>
      <name val="Tahoma"/>
      <family val="2"/>
    </font>
    <font>
      <sz val="8"/>
      <color indexed="81"/>
      <name val="Tahoma"/>
      <family val="2"/>
    </font>
    <font>
      <sz val="8"/>
      <name val="Calibri"/>
      <family val="2"/>
      <scheme val="minor"/>
    </font>
  </fonts>
  <fills count="17">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indexed="22"/>
        <bgColor indexed="64"/>
      </patternFill>
    </fill>
    <fill>
      <patternFill patternType="solid">
        <fgColor rgb="FFFFF7E1"/>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0"/>
        <bgColor indexed="64"/>
      </patternFill>
    </fill>
    <fill>
      <patternFill patternType="solid">
        <fgColor rgb="FFFFFFFF"/>
        <bgColor indexed="64"/>
      </patternFill>
    </fill>
    <fill>
      <patternFill patternType="solid">
        <fgColor theme="2"/>
        <bgColor indexed="64"/>
      </patternFill>
    </fill>
    <fill>
      <patternFill patternType="solid">
        <fgColor rgb="FFFFFF00"/>
        <bgColor indexed="64"/>
      </patternFill>
    </fill>
  </fills>
  <borders count="7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thin">
        <color theme="1"/>
      </top>
      <bottom style="thin">
        <color theme="1"/>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rgb="FFFF0000"/>
      </right>
      <top style="thin">
        <color indexed="64"/>
      </top>
      <bottom style="thin">
        <color indexed="64"/>
      </bottom>
      <diagonal/>
    </border>
    <border>
      <left style="thin">
        <color indexed="64"/>
      </left>
      <right style="thick">
        <color rgb="FFFF0000"/>
      </right>
      <top style="thin">
        <color indexed="64"/>
      </top>
      <bottom/>
      <diagonal/>
    </border>
  </borders>
  <cellStyleXfs count="14">
    <xf numFmtId="0" fontId="0" fillId="0" borderId="0"/>
    <xf numFmtId="43" fontId="23" fillId="0" borderId="0" applyFont="0" applyFill="0" applyBorder="0" applyAlignment="0" applyProtection="0"/>
    <xf numFmtId="9" fontId="23" fillId="0" borderId="0" applyFont="0" applyFill="0" applyBorder="0" applyAlignment="0" applyProtection="0"/>
    <xf numFmtId="44" fontId="23" fillId="0" borderId="0" applyFont="0" applyFill="0" applyBorder="0" applyAlignment="0" applyProtection="0"/>
    <xf numFmtId="0" fontId="42" fillId="0" borderId="0"/>
    <xf numFmtId="9" fontId="46" fillId="0" borderId="0" applyFont="0" applyFill="0" applyBorder="0" applyAlignment="0" applyProtection="0"/>
    <xf numFmtId="44" fontId="46" fillId="0" borderId="0" applyFont="0" applyFill="0" applyBorder="0" applyAlignment="0" applyProtection="0"/>
    <xf numFmtId="0" fontId="2" fillId="0" borderId="0"/>
    <xf numFmtId="0" fontId="64" fillId="0" borderId="0"/>
    <xf numFmtId="9" fontId="2" fillId="0" borderId="0" applyFont="0" applyFill="0" applyBorder="0" applyAlignment="0" applyProtection="0"/>
    <xf numFmtId="43" fontId="2" fillId="0" borderId="0" applyFont="0" applyFill="0" applyBorder="0" applyAlignment="0" applyProtection="0"/>
    <xf numFmtId="0" fontId="68" fillId="0" borderId="0" applyNumberFormat="0" applyFill="0" applyBorder="0" applyAlignment="0" applyProtection="0"/>
    <xf numFmtId="0" fontId="1" fillId="0" borderId="0"/>
    <xf numFmtId="0" fontId="1" fillId="0" borderId="0"/>
  </cellStyleXfs>
  <cellXfs count="1654">
    <xf numFmtId="0" fontId="0" fillId="0" borderId="0" xfId="0"/>
    <xf numFmtId="0" fontId="27" fillId="0" borderId="0" xfId="0" applyFont="1"/>
    <xf numFmtId="0" fontId="26" fillId="0" borderId="0" xfId="0" applyFont="1"/>
    <xf numFmtId="0" fontId="26" fillId="0" borderId="2" xfId="0" applyFont="1" applyBorder="1"/>
    <xf numFmtId="164" fontId="26" fillId="0" borderId="2" xfId="1" applyNumberFormat="1" applyFont="1" applyBorder="1"/>
    <xf numFmtId="0" fontId="28" fillId="0" borderId="0" xfId="0" applyFont="1"/>
    <xf numFmtId="164" fontId="0" fillId="0" borderId="0" xfId="0" applyNumberFormat="1"/>
    <xf numFmtId="0" fontId="31" fillId="0" borderId="0" xfId="0" applyFont="1"/>
    <xf numFmtId="0" fontId="33" fillId="0" borderId="2" xfId="0" applyFont="1" applyBorder="1"/>
    <xf numFmtId="164" fontId="16" fillId="7" borderId="2" xfId="1" applyNumberFormat="1" applyFont="1" applyFill="1" applyBorder="1" applyProtection="1">
      <protection locked="0"/>
    </xf>
    <xf numFmtId="164" fontId="16" fillId="7" borderId="6" xfId="1" applyNumberFormat="1" applyFont="1" applyFill="1" applyBorder="1" applyProtection="1">
      <protection locked="0"/>
    </xf>
    <xf numFmtId="164" fontId="26" fillId="0" borderId="9" xfId="1" applyNumberFormat="1" applyFont="1" applyBorder="1"/>
    <xf numFmtId="164" fontId="34" fillId="0" borderId="2" xfId="1" applyNumberFormat="1" applyFont="1" applyBorder="1"/>
    <xf numFmtId="0" fontId="26" fillId="0" borderId="8" xfId="0" applyFont="1" applyBorder="1" applyAlignment="1">
      <alignment horizontal="center"/>
    </xf>
    <xf numFmtId="0" fontId="26" fillId="0" borderId="4" xfId="0" applyFont="1" applyBorder="1" applyAlignment="1">
      <alignment horizontal="right" wrapText="1"/>
    </xf>
    <xf numFmtId="0" fontId="26" fillId="0" borderId="13" xfId="0" applyFont="1" applyBorder="1" applyAlignment="1">
      <alignment horizontal="right" wrapText="1"/>
    </xf>
    <xf numFmtId="164" fontId="26" fillId="0" borderId="9" xfId="0" applyNumberFormat="1" applyFont="1" applyBorder="1" applyAlignment="1">
      <alignment horizontal="center"/>
    </xf>
    <xf numFmtId="0" fontId="26" fillId="0" borderId="7" xfId="0" applyFont="1" applyBorder="1" applyAlignment="1">
      <alignment horizontal="center"/>
    </xf>
    <xf numFmtId="164" fontId="26" fillId="0" borderId="8" xfId="1" applyNumberFormat="1" applyFont="1" applyBorder="1" applyAlignment="1">
      <alignment horizontal="right"/>
    </xf>
    <xf numFmtId="164" fontId="15" fillId="7" borderId="2" xfId="1" applyNumberFormat="1" applyFont="1" applyFill="1" applyBorder="1" applyProtection="1">
      <protection locked="0"/>
    </xf>
    <xf numFmtId="164" fontId="15" fillId="7" borderId="8" xfId="1" applyNumberFormat="1" applyFont="1" applyFill="1" applyBorder="1" applyProtection="1">
      <protection locked="0"/>
    </xf>
    <xf numFmtId="0" fontId="26" fillId="0" borderId="22" xfId="0" applyFont="1" applyBorder="1" applyAlignment="1">
      <alignment horizontal="right"/>
    </xf>
    <xf numFmtId="0" fontId="26" fillId="0" borderId="2" xfId="0" applyFont="1" applyBorder="1" applyAlignment="1">
      <alignment horizontal="right"/>
    </xf>
    <xf numFmtId="0" fontId="26" fillId="0" borderId="6" xfId="0" applyFont="1" applyBorder="1" applyAlignment="1">
      <alignment horizontal="right"/>
    </xf>
    <xf numFmtId="164" fontId="16" fillId="0" borderId="6" xfId="0" applyNumberFormat="1" applyFont="1" applyBorder="1"/>
    <xf numFmtId="164" fontId="16" fillId="0" borderId="2" xfId="0" applyNumberFormat="1" applyFont="1" applyBorder="1"/>
    <xf numFmtId="0" fontId="16" fillId="0" borderId="2" xfId="0" applyFont="1" applyBorder="1"/>
    <xf numFmtId="10" fontId="16" fillId="7" borderId="6" xfId="0" applyNumberFormat="1" applyFont="1" applyFill="1" applyBorder="1" applyProtection="1">
      <protection locked="0"/>
    </xf>
    <xf numFmtId="164" fontId="14" fillId="7" borderId="6" xfId="1" applyNumberFormat="1" applyFont="1" applyFill="1" applyBorder="1" applyProtection="1">
      <protection locked="0"/>
    </xf>
    <xf numFmtId="2" fontId="16" fillId="7" borderId="2" xfId="0" applyNumberFormat="1" applyFont="1" applyFill="1" applyBorder="1" applyProtection="1">
      <protection locked="0"/>
    </xf>
    <xf numFmtId="2" fontId="16" fillId="7" borderId="6" xfId="0" applyNumberFormat="1" applyFont="1" applyFill="1" applyBorder="1" applyProtection="1">
      <protection locked="0"/>
    </xf>
    <xf numFmtId="0" fontId="16" fillId="7" borderId="6" xfId="0" applyFont="1" applyFill="1" applyBorder="1" applyProtection="1">
      <protection locked="0"/>
    </xf>
    <xf numFmtId="167" fontId="16" fillId="7" borderId="2" xfId="0" applyNumberFormat="1" applyFont="1" applyFill="1" applyBorder="1" applyProtection="1">
      <protection locked="0"/>
    </xf>
    <xf numFmtId="166" fontId="16" fillId="7" borderId="2" xfId="0" applyNumberFormat="1" applyFont="1" applyFill="1" applyBorder="1" applyProtection="1">
      <protection locked="0"/>
    </xf>
    <xf numFmtId="0" fontId="14" fillId="7" borderId="6" xfId="0" applyFont="1" applyFill="1" applyBorder="1" applyAlignment="1" applyProtection="1">
      <alignment horizontal="center"/>
      <protection locked="0"/>
    </xf>
    <xf numFmtId="0" fontId="16" fillId="7" borderId="6" xfId="0" applyFont="1" applyFill="1" applyBorder="1" applyAlignment="1" applyProtection="1">
      <alignment horizontal="center"/>
      <protection locked="0"/>
    </xf>
    <xf numFmtId="164" fontId="16" fillId="7" borderId="8" xfId="1" applyNumberFormat="1" applyFont="1" applyFill="1" applyBorder="1" applyProtection="1">
      <protection locked="0"/>
    </xf>
    <xf numFmtId="167" fontId="16" fillId="7" borderId="8" xfId="0" applyNumberFormat="1" applyFont="1" applyFill="1" applyBorder="1" applyProtection="1">
      <protection locked="0"/>
    </xf>
    <xf numFmtId="166" fontId="16" fillId="7" borderId="8" xfId="0" applyNumberFormat="1" applyFont="1" applyFill="1" applyBorder="1" applyProtection="1">
      <protection locked="0"/>
    </xf>
    <xf numFmtId="0" fontId="16" fillId="7" borderId="9" xfId="0" applyFont="1" applyFill="1" applyBorder="1" applyAlignment="1" applyProtection="1">
      <alignment horizontal="center"/>
      <protection locked="0"/>
    </xf>
    <xf numFmtId="0" fontId="26" fillId="0" borderId="4" xfId="0" applyFont="1" applyBorder="1" applyAlignment="1">
      <alignment horizontal="right"/>
    </xf>
    <xf numFmtId="0" fontId="26" fillId="0" borderId="13" xfId="0" applyFont="1" applyBorder="1" applyAlignment="1">
      <alignment horizontal="right"/>
    </xf>
    <xf numFmtId="10" fontId="29" fillId="7" borderId="2" xfId="0" applyNumberFormat="1" applyFont="1" applyFill="1" applyBorder="1" applyProtection="1">
      <protection locked="0"/>
    </xf>
    <xf numFmtId="164" fontId="21" fillId="7" borderId="2" xfId="1" applyNumberFormat="1" applyFont="1" applyFill="1" applyBorder="1" applyProtection="1">
      <protection locked="0"/>
    </xf>
    <xf numFmtId="0" fontId="17" fillId="7" borderId="5" xfId="0" applyFont="1" applyFill="1" applyBorder="1" applyProtection="1">
      <protection locked="0"/>
    </xf>
    <xf numFmtId="0" fontId="18" fillId="7" borderId="7" xfId="0" applyFont="1" applyFill="1" applyBorder="1" applyProtection="1">
      <protection locked="0"/>
    </xf>
    <xf numFmtId="10" fontId="29" fillId="7" borderId="8" xfId="0" applyNumberFormat="1" applyFont="1" applyFill="1" applyBorder="1" applyProtection="1">
      <protection locked="0"/>
    </xf>
    <xf numFmtId="164" fontId="19" fillId="7" borderId="8" xfId="1" applyNumberFormat="1" applyFont="1" applyFill="1" applyBorder="1" applyProtection="1">
      <protection locked="0"/>
    </xf>
    <xf numFmtId="0" fontId="20" fillId="7" borderId="5" xfId="0" applyFont="1" applyFill="1" applyBorder="1" applyProtection="1">
      <protection locked="0"/>
    </xf>
    <xf numFmtId="0" fontId="21" fillId="7" borderId="7" xfId="0" applyFont="1" applyFill="1" applyBorder="1" applyProtection="1">
      <protection locked="0"/>
    </xf>
    <xf numFmtId="164" fontId="21" fillId="7" borderId="8" xfId="1" applyNumberFormat="1" applyFont="1" applyFill="1" applyBorder="1" applyProtection="1">
      <protection locked="0"/>
    </xf>
    <xf numFmtId="10" fontId="26" fillId="7" borderId="2" xfId="0" applyNumberFormat="1" applyFont="1" applyFill="1" applyBorder="1" applyProtection="1">
      <protection locked="0"/>
    </xf>
    <xf numFmtId="0" fontId="0" fillId="0" borderId="2" xfId="0" applyBorder="1"/>
    <xf numFmtId="164" fontId="15" fillId="7" borderId="7" xfId="1" applyNumberFormat="1" applyFont="1" applyFill="1" applyBorder="1" applyProtection="1">
      <protection locked="0"/>
    </xf>
    <xf numFmtId="164" fontId="15" fillId="7" borderId="9" xfId="1" applyNumberFormat="1" applyFont="1" applyFill="1" applyBorder="1" applyProtection="1">
      <protection locked="0"/>
    </xf>
    <xf numFmtId="10" fontId="15" fillId="7" borderId="5" xfId="2" applyNumberFormat="1" applyFont="1" applyFill="1" applyBorder="1" applyAlignment="1" applyProtection="1">
      <alignment horizontal="center"/>
      <protection locked="0"/>
    </xf>
    <xf numFmtId="10" fontId="15" fillId="7" borderId="7" xfId="2" applyNumberFormat="1" applyFont="1" applyFill="1" applyBorder="1" applyAlignment="1" applyProtection="1">
      <alignment horizontal="center"/>
      <protection locked="0"/>
    </xf>
    <xf numFmtId="0" fontId="12" fillId="7" borderId="5" xfId="0" applyFont="1" applyFill="1" applyBorder="1" applyAlignment="1" applyProtection="1">
      <alignment horizontal="center"/>
      <protection locked="0"/>
    </xf>
    <xf numFmtId="0" fontId="12" fillId="7" borderId="2" xfId="0" applyFont="1" applyFill="1" applyBorder="1" applyAlignment="1" applyProtection="1">
      <alignment horizontal="center"/>
      <protection locked="0"/>
    </xf>
    <xf numFmtId="164" fontId="12" fillId="7" borderId="2" xfId="1" applyNumberFormat="1" applyFont="1" applyFill="1" applyBorder="1" applyProtection="1">
      <protection locked="0"/>
    </xf>
    <xf numFmtId="9" fontId="12" fillId="7" borderId="2" xfId="2" applyFont="1" applyFill="1" applyBorder="1" applyProtection="1">
      <protection locked="0"/>
    </xf>
    <xf numFmtId="164" fontId="15" fillId="7" borderId="5" xfId="1" applyNumberFormat="1" applyFont="1" applyFill="1" applyBorder="1" applyProtection="1">
      <protection locked="0"/>
    </xf>
    <xf numFmtId="164" fontId="15" fillId="7" borderId="6" xfId="1" applyNumberFormat="1" applyFont="1" applyFill="1" applyBorder="1" applyProtection="1">
      <protection locked="0"/>
    </xf>
    <xf numFmtId="0" fontId="10" fillId="0" borderId="4" xfId="0" applyFont="1" applyBorder="1"/>
    <xf numFmtId="0" fontId="37" fillId="0" borderId="0" xfId="0" applyFont="1"/>
    <xf numFmtId="0" fontId="10" fillId="0" borderId="2" xfId="0" applyFont="1" applyBorder="1" applyAlignment="1">
      <alignment horizontal="right"/>
    </xf>
    <xf numFmtId="0" fontId="10" fillId="0" borderId="2" xfId="0" applyFont="1" applyBorder="1"/>
    <xf numFmtId="0" fontId="10" fillId="0" borderId="6" xfId="0" applyFont="1" applyBorder="1" applyAlignment="1">
      <alignment horizontal="right"/>
    </xf>
    <xf numFmtId="164" fontId="10" fillId="0" borderId="2" xfId="1" applyNumberFormat="1" applyFont="1" applyBorder="1" applyAlignment="1">
      <alignment horizontal="right"/>
    </xf>
    <xf numFmtId="164" fontId="10" fillId="0" borderId="2" xfId="1" applyNumberFormat="1" applyFont="1" applyBorder="1"/>
    <xf numFmtId="164" fontId="10" fillId="0" borderId="6" xfId="1" applyNumberFormat="1" applyFont="1" applyBorder="1" applyAlignment="1">
      <alignment horizontal="right"/>
    </xf>
    <xf numFmtId="165" fontId="10" fillId="0" borderId="2" xfId="2" applyNumberFormat="1" applyFont="1" applyBorder="1" applyAlignment="1">
      <alignment horizontal="right"/>
    </xf>
    <xf numFmtId="165" fontId="10" fillId="0" borderId="6" xfId="2" applyNumberFormat="1" applyFont="1" applyBorder="1" applyAlignment="1">
      <alignment horizontal="right"/>
    </xf>
    <xf numFmtId="43" fontId="10" fillId="0" borderId="2" xfId="1" applyFont="1" applyBorder="1" applyAlignment="1">
      <alignment horizontal="right"/>
    </xf>
    <xf numFmtId="43" fontId="10" fillId="0" borderId="6" xfId="1" applyFont="1" applyBorder="1" applyAlignment="1">
      <alignment horizontal="right"/>
    </xf>
    <xf numFmtId="10" fontId="10" fillId="0" borderId="2" xfId="1" applyNumberFormat="1" applyFont="1" applyBorder="1" applyAlignment="1">
      <alignment horizontal="right"/>
    </xf>
    <xf numFmtId="10" fontId="10" fillId="0" borderId="6" xfId="1" applyNumberFormat="1" applyFont="1" applyBorder="1" applyAlignment="1">
      <alignment horizontal="right"/>
    </xf>
    <xf numFmtId="10" fontId="10" fillId="0" borderId="8" xfId="1" applyNumberFormat="1" applyFont="1" applyBorder="1" applyAlignment="1">
      <alignment horizontal="right"/>
    </xf>
    <xf numFmtId="164" fontId="10" fillId="0" borderId="8" xfId="1" applyNumberFormat="1" applyFont="1" applyBorder="1" applyAlignment="1">
      <alignment horizontal="right"/>
    </xf>
    <xf numFmtId="10" fontId="10" fillId="0" borderId="9" xfId="1" applyNumberFormat="1" applyFont="1" applyBorder="1" applyAlignment="1">
      <alignment horizontal="right"/>
    </xf>
    <xf numFmtId="0" fontId="32" fillId="0" borderId="0" xfId="0" applyFont="1"/>
    <xf numFmtId="164" fontId="32" fillId="0" borderId="0" xfId="1" applyNumberFormat="1" applyFont="1" applyAlignment="1">
      <alignment horizontal="right"/>
    </xf>
    <xf numFmtId="168" fontId="10" fillId="0" borderId="2" xfId="3" applyNumberFormat="1" applyFont="1" applyBorder="1"/>
    <xf numFmtId="9" fontId="36" fillId="0" borderId="2" xfId="2" applyFont="1" applyBorder="1"/>
    <xf numFmtId="168" fontId="26" fillId="0" borderId="2" xfId="3" applyNumberFormat="1" applyFont="1" applyBorder="1"/>
    <xf numFmtId="10" fontId="10" fillId="0" borderId="2" xfId="2" applyNumberFormat="1" applyFont="1" applyBorder="1"/>
    <xf numFmtId="10" fontId="26" fillId="0" borderId="2" xfId="2" applyNumberFormat="1" applyFont="1" applyBorder="1"/>
    <xf numFmtId="0" fontId="0" fillId="0" borderId="0" xfId="0" applyAlignment="1">
      <alignment horizontal="right"/>
    </xf>
    <xf numFmtId="0" fontId="38" fillId="0" borderId="0" xfId="0" applyFont="1"/>
    <xf numFmtId="0" fontId="40" fillId="8" borderId="2" xfId="0" applyFont="1" applyFill="1" applyBorder="1" applyAlignment="1">
      <alignment horizontal="center"/>
    </xf>
    <xf numFmtId="164" fontId="40" fillId="0" borderId="2" xfId="0" applyNumberFormat="1" applyFont="1" applyBorder="1"/>
    <xf numFmtId="0" fontId="0" fillId="0" borderId="2" xfId="0" applyBorder="1" applyAlignment="1">
      <alignment horizontal="right"/>
    </xf>
    <xf numFmtId="10" fontId="41" fillId="0" borderId="2" xfId="0" applyNumberFormat="1" applyFont="1" applyBorder="1"/>
    <xf numFmtId="0" fontId="43" fillId="0" borderId="0" xfId="4" applyFont="1" applyAlignment="1">
      <alignment horizontal="left" vertical="center"/>
    </xf>
    <xf numFmtId="0" fontId="43" fillId="0" borderId="0" xfId="4" applyFont="1" applyAlignment="1">
      <alignment horizontal="center" vertical="center"/>
    </xf>
    <xf numFmtId="0" fontId="44" fillId="0" borderId="2" xfId="4" applyFont="1" applyBorder="1" applyAlignment="1">
      <alignment horizontal="left" vertical="center"/>
    </xf>
    <xf numFmtId="0" fontId="44" fillId="0" borderId="0" xfId="4" applyFont="1" applyAlignment="1">
      <alignment horizontal="center" vertical="center"/>
    </xf>
    <xf numFmtId="170" fontId="41" fillId="0" borderId="0" xfId="4" applyNumberFormat="1" applyFont="1" applyAlignment="1">
      <alignment vertical="center"/>
    </xf>
    <xf numFmtId="0" fontId="41" fillId="0" borderId="0" xfId="4" applyFont="1" applyAlignment="1">
      <alignment horizontal="left" vertical="center"/>
    </xf>
    <xf numFmtId="0" fontId="44" fillId="0" borderId="0" xfId="4" applyFont="1" applyAlignment="1">
      <alignment horizontal="left" vertical="center"/>
    </xf>
    <xf numFmtId="0" fontId="41" fillId="0" borderId="0" xfId="4" applyFont="1" applyAlignment="1">
      <alignment horizontal="center" vertical="center"/>
    </xf>
    <xf numFmtId="0" fontId="45" fillId="0" borderId="0" xfId="4" applyFont="1" applyAlignment="1">
      <alignment horizontal="center" vertical="center"/>
    </xf>
    <xf numFmtId="171" fontId="44" fillId="0" borderId="0" xfId="4" applyNumberFormat="1" applyFont="1" applyAlignment="1">
      <alignment horizontal="center" vertical="center"/>
    </xf>
    <xf numFmtId="170" fontId="41" fillId="0" borderId="0" xfId="4" applyNumberFormat="1" applyFont="1" applyAlignment="1">
      <alignment horizontal="left" vertical="center"/>
    </xf>
    <xf numFmtId="167" fontId="41" fillId="0" borderId="0" xfId="5" applyNumberFormat="1" applyFont="1" applyAlignment="1">
      <alignment horizontal="center" vertical="center"/>
    </xf>
    <xf numFmtId="0" fontId="44" fillId="9" borderId="2" xfId="4" applyFont="1" applyFill="1" applyBorder="1" applyAlignment="1">
      <alignment horizontal="center" vertical="center"/>
    </xf>
    <xf numFmtId="0" fontId="41" fillId="9" borderId="2" xfId="4" applyFont="1" applyFill="1" applyBorder="1" applyAlignment="1">
      <alignment horizontal="center" vertical="center"/>
    </xf>
    <xf numFmtId="0" fontId="41" fillId="0" borderId="2" xfId="4" applyFont="1" applyBorder="1" applyAlignment="1">
      <alignment horizontal="center" vertical="center"/>
    </xf>
    <xf numFmtId="169" fontId="44" fillId="0" borderId="2" xfId="4" applyNumberFormat="1" applyFont="1" applyBorder="1" applyAlignment="1">
      <alignment vertical="center"/>
    </xf>
    <xf numFmtId="0" fontId="45" fillId="0" borderId="0" xfId="4" applyFont="1" applyAlignment="1">
      <alignment horizontal="left" vertical="center"/>
    </xf>
    <xf numFmtId="10" fontId="44" fillId="0" borderId="2" xfId="5" applyNumberFormat="1" applyFont="1" applyBorder="1" applyAlignment="1">
      <alignment vertical="center"/>
    </xf>
    <xf numFmtId="10" fontId="43" fillId="0" borderId="0" xfId="5" applyNumberFormat="1" applyFont="1" applyAlignment="1">
      <alignment horizontal="center" vertical="center"/>
    </xf>
    <xf numFmtId="169" fontId="43" fillId="0" borderId="0" xfId="4" applyNumberFormat="1" applyFont="1" applyAlignment="1">
      <alignment vertical="center"/>
    </xf>
    <xf numFmtId="164" fontId="44" fillId="0" borderId="2" xfId="1" applyNumberFormat="1" applyFont="1" applyBorder="1" applyAlignment="1">
      <alignment horizontal="right" vertical="center"/>
    </xf>
    <xf numFmtId="164" fontId="44" fillId="0" borderId="2" xfId="1" applyNumberFormat="1" applyFont="1" applyBorder="1" applyAlignment="1">
      <alignment vertical="center"/>
    </xf>
    <xf numFmtId="44" fontId="43" fillId="0" borderId="0" xfId="6" applyFont="1" applyAlignment="1">
      <alignment horizontal="left" vertical="center"/>
    </xf>
    <xf numFmtId="44" fontId="43" fillId="0" borderId="0" xfId="6" applyFont="1" applyAlignment="1">
      <alignment vertical="center"/>
    </xf>
    <xf numFmtId="170" fontId="45" fillId="0" borderId="0" xfId="4" applyNumberFormat="1" applyFont="1" applyAlignment="1">
      <alignment horizontal="right" vertical="center"/>
    </xf>
    <xf numFmtId="164" fontId="48" fillId="0" borderId="2" xfId="1" applyNumberFormat="1" applyFont="1" applyBorder="1" applyAlignment="1">
      <alignment horizontal="right" vertical="center"/>
    </xf>
    <xf numFmtId="169" fontId="45" fillId="0" borderId="0" xfId="4" applyNumberFormat="1" applyFont="1" applyAlignment="1">
      <alignment vertical="center"/>
    </xf>
    <xf numFmtId="10" fontId="44" fillId="0" borderId="2" xfId="2" applyNumberFormat="1" applyFont="1" applyBorder="1" applyAlignment="1">
      <alignment horizontal="right" vertical="center"/>
    </xf>
    <xf numFmtId="3" fontId="0" fillId="0" borderId="0" xfId="0" applyNumberFormat="1"/>
    <xf numFmtId="9" fontId="0" fillId="0" borderId="0" xfId="2" applyFont="1"/>
    <xf numFmtId="164" fontId="39" fillId="10" borderId="2" xfId="0" applyNumberFormat="1" applyFont="1" applyFill="1" applyBorder="1"/>
    <xf numFmtId="0" fontId="26" fillId="11" borderId="23" xfId="0" applyFont="1" applyFill="1" applyBorder="1" applyAlignment="1">
      <alignment horizontal="center"/>
    </xf>
    <xf numFmtId="172" fontId="39" fillId="11" borderId="12" xfId="1" applyNumberFormat="1" applyFont="1" applyFill="1" applyBorder="1" applyAlignment="1">
      <alignment horizontal="right"/>
    </xf>
    <xf numFmtId="0" fontId="39" fillId="11" borderId="12" xfId="0" applyFont="1" applyFill="1" applyBorder="1" applyAlignment="1">
      <alignment horizontal="right"/>
    </xf>
    <xf numFmtId="164" fontId="39" fillId="11" borderId="12" xfId="1" applyNumberFormat="1" applyFont="1" applyFill="1" applyBorder="1" applyAlignment="1">
      <alignment horizontal="right"/>
    </xf>
    <xf numFmtId="0" fontId="39" fillId="11" borderId="22" xfId="0" applyFont="1" applyFill="1" applyBorder="1" applyAlignment="1">
      <alignment horizontal="right"/>
    </xf>
    <xf numFmtId="0" fontId="26" fillId="11" borderId="5" xfId="0" applyFont="1" applyFill="1" applyBorder="1" applyAlignment="1">
      <alignment horizontal="center"/>
    </xf>
    <xf numFmtId="0" fontId="26" fillId="11" borderId="2" xfId="0" applyFont="1" applyFill="1" applyBorder="1" applyAlignment="1">
      <alignment horizontal="center"/>
    </xf>
    <xf numFmtId="0" fontId="26" fillId="11" borderId="6" xfId="0" applyFont="1" applyFill="1" applyBorder="1" applyAlignment="1">
      <alignment horizontal="center"/>
    </xf>
    <xf numFmtId="164" fontId="40" fillId="0" borderId="2" xfId="1" applyNumberFormat="1" applyFont="1" applyBorder="1"/>
    <xf numFmtId="164" fontId="40" fillId="0" borderId="6" xfId="1" applyNumberFormat="1" applyFont="1" applyBorder="1"/>
    <xf numFmtId="9" fontId="39" fillId="0" borderId="5" xfId="0" applyNumberFormat="1" applyFont="1" applyBorder="1" applyAlignment="1">
      <alignment horizontal="center"/>
    </xf>
    <xf numFmtId="0" fontId="33" fillId="11" borderId="32" xfId="0" applyFont="1" applyFill="1" applyBorder="1" applyAlignment="1">
      <alignment horizontal="center"/>
    </xf>
    <xf numFmtId="164" fontId="51" fillId="7" borderId="2" xfId="1" applyNumberFormat="1" applyFont="1" applyFill="1" applyBorder="1" applyProtection="1">
      <protection locked="0"/>
    </xf>
    <xf numFmtId="164" fontId="51" fillId="7" borderId="6" xfId="1" applyNumberFormat="1" applyFont="1" applyFill="1" applyBorder="1" applyProtection="1">
      <protection locked="0"/>
    </xf>
    <xf numFmtId="9" fontId="0" fillId="0" borderId="2" xfId="0" applyNumberFormat="1" applyBorder="1"/>
    <xf numFmtId="0" fontId="8" fillId="7" borderId="2" xfId="0" applyFont="1" applyFill="1" applyBorder="1" applyProtection="1">
      <protection locked="0"/>
    </xf>
    <xf numFmtId="9" fontId="8" fillId="0" borderId="2" xfId="2" applyFont="1" applyBorder="1"/>
    <xf numFmtId="9" fontId="8" fillId="0" borderId="6" xfId="2" applyFont="1" applyBorder="1"/>
    <xf numFmtId="164" fontId="7" fillId="7" borderId="2" xfId="1" applyNumberFormat="1" applyFont="1" applyFill="1" applyBorder="1" applyProtection="1">
      <protection locked="0"/>
    </xf>
    <xf numFmtId="164" fontId="0" fillId="0" borderId="0" xfId="1" applyNumberFormat="1" applyFont="1"/>
    <xf numFmtId="167" fontId="0" fillId="0" borderId="0" xfId="2" applyNumberFormat="1" applyFont="1"/>
    <xf numFmtId="0" fontId="27" fillId="0" borderId="0" xfId="0" applyFont="1" applyAlignment="1">
      <alignment horizontal="right"/>
    </xf>
    <xf numFmtId="0" fontId="27" fillId="0" borderId="1" xfId="0" applyFont="1" applyBorder="1"/>
    <xf numFmtId="0" fontId="27" fillId="0" borderId="1" xfId="0" applyFont="1" applyBorder="1" applyAlignment="1">
      <alignment horizontal="right" wrapText="1"/>
    </xf>
    <xf numFmtId="0" fontId="27" fillId="0" borderId="1" xfId="0" applyFont="1" applyBorder="1" applyAlignment="1">
      <alignment horizontal="center" wrapText="1"/>
    </xf>
    <xf numFmtId="0" fontId="0" fillId="0" borderId="1" xfId="0" applyBorder="1"/>
    <xf numFmtId="3" fontId="0" fillId="0" borderId="2" xfId="0" applyNumberFormat="1" applyBorder="1"/>
    <xf numFmtId="3" fontId="0" fillId="7" borderId="2" xfId="0" applyNumberFormat="1" applyFill="1" applyBorder="1" applyProtection="1">
      <protection locked="0"/>
    </xf>
    <xf numFmtId="0" fontId="37" fillId="7" borderId="0" xfId="0" applyFont="1" applyFill="1" applyAlignment="1" applyProtection="1">
      <alignment horizontal="center"/>
      <protection locked="0"/>
    </xf>
    <xf numFmtId="3" fontId="27" fillId="0" borderId="2" xfId="0" applyNumberFormat="1" applyFont="1" applyBorder="1"/>
    <xf numFmtId="3" fontId="27" fillId="7" borderId="2" xfId="0" applyNumberFormat="1" applyFont="1" applyFill="1" applyBorder="1" applyProtection="1">
      <protection locked="0"/>
    </xf>
    <xf numFmtId="9" fontId="0" fillId="0" borderId="2" xfId="2" applyFont="1" applyBorder="1"/>
    <xf numFmtId="9" fontId="0" fillId="7" borderId="2" xfId="2" applyFont="1" applyFill="1" applyBorder="1" applyProtection="1">
      <protection locked="0"/>
    </xf>
    <xf numFmtId="10" fontId="0" fillId="0" borderId="2" xfId="2" applyNumberFormat="1" applyFont="1" applyBorder="1"/>
    <xf numFmtId="10" fontId="0" fillId="7" borderId="2" xfId="2" applyNumberFormat="1" applyFont="1" applyFill="1" applyBorder="1" applyProtection="1">
      <protection locked="0"/>
    </xf>
    <xf numFmtId="4" fontId="0" fillId="0" borderId="2" xfId="0" applyNumberFormat="1" applyBorder="1"/>
    <xf numFmtId="4" fontId="0" fillId="7" borderId="2" xfId="0" applyNumberFormat="1" applyFill="1" applyBorder="1" applyProtection="1">
      <protection locked="0"/>
    </xf>
    <xf numFmtId="164" fontId="0" fillId="7" borderId="2" xfId="1" applyNumberFormat="1" applyFont="1" applyFill="1" applyBorder="1" applyProtection="1">
      <protection locked="0"/>
    </xf>
    <xf numFmtId="0" fontId="27" fillId="0" borderId="2" xfId="0" applyFont="1" applyBorder="1"/>
    <xf numFmtId="164" fontId="0" fillId="0" borderId="2" xfId="1" applyNumberFormat="1" applyFont="1" applyBorder="1"/>
    <xf numFmtId="0" fontId="53" fillId="0" borderId="2" xfId="0" applyFont="1" applyBorder="1"/>
    <xf numFmtId="164" fontId="53" fillId="0" borderId="2" xfId="1" applyNumberFormat="1" applyFont="1" applyBorder="1"/>
    <xf numFmtId="164" fontId="27" fillId="0" borderId="2" xfId="1" applyNumberFormat="1" applyFont="1" applyBorder="1"/>
    <xf numFmtId="43" fontId="37" fillId="0" borderId="2" xfId="1" applyFont="1" applyBorder="1"/>
    <xf numFmtId="9" fontId="37" fillId="0" borderId="2" xfId="2" applyFont="1" applyBorder="1"/>
    <xf numFmtId="0" fontId="0" fillId="6" borderId="2" xfId="0" applyFill="1" applyBorder="1"/>
    <xf numFmtId="164" fontId="0" fillId="6" borderId="2" xfId="1" applyNumberFormat="1" applyFont="1" applyFill="1" applyBorder="1"/>
    <xf numFmtId="9" fontId="0" fillId="7" borderId="2" xfId="2" applyFont="1" applyFill="1" applyBorder="1"/>
    <xf numFmtId="10" fontId="0" fillId="7" borderId="2" xfId="2" applyNumberFormat="1" applyFont="1" applyFill="1" applyBorder="1"/>
    <xf numFmtId="3" fontId="0" fillId="7" borderId="2" xfId="0" applyNumberFormat="1" applyFill="1" applyBorder="1"/>
    <xf numFmtId="169" fontId="41" fillId="7" borderId="2" xfId="4" applyNumberFormat="1" applyFont="1" applyFill="1" applyBorder="1" applyAlignment="1" applyProtection="1">
      <alignment horizontal="right" vertical="center"/>
      <protection locked="0"/>
    </xf>
    <xf numFmtId="10" fontId="44" fillId="7" borderId="2" xfId="5" applyNumberFormat="1" applyFont="1" applyFill="1" applyBorder="1" applyAlignment="1" applyProtection="1">
      <alignment horizontal="right" vertical="center"/>
      <protection locked="0"/>
    </xf>
    <xf numFmtId="169" fontId="44" fillId="7" borderId="2" xfId="4" applyNumberFormat="1" applyFont="1" applyFill="1" applyBorder="1" applyAlignment="1" applyProtection="1">
      <alignment vertical="center"/>
      <protection locked="0"/>
    </xf>
    <xf numFmtId="0" fontId="41" fillId="7" borderId="2" xfId="4" applyFont="1" applyFill="1" applyBorder="1" applyAlignment="1" applyProtection="1">
      <alignment horizontal="right" vertical="center"/>
      <protection locked="0"/>
    </xf>
    <xf numFmtId="6" fontId="0" fillId="0" borderId="0" xfId="0" applyNumberFormat="1"/>
    <xf numFmtId="0" fontId="14" fillId="0" borderId="10" xfId="0" applyFont="1" applyBorder="1" applyAlignment="1">
      <alignment horizontal="left"/>
    </xf>
    <xf numFmtId="0" fontId="14" fillId="0" borderId="11" xfId="0" applyFont="1" applyBorder="1" applyAlignment="1">
      <alignment horizontal="left"/>
    </xf>
    <xf numFmtId="18" fontId="0" fillId="0" borderId="0" xfId="0" applyNumberFormat="1"/>
    <xf numFmtId="164" fontId="5" fillId="7" borderId="5" xfId="1" applyNumberFormat="1" applyFont="1" applyFill="1" applyBorder="1" applyProtection="1">
      <protection locked="0"/>
    </xf>
    <xf numFmtId="164" fontId="5" fillId="7" borderId="2" xfId="1" applyNumberFormat="1" applyFont="1" applyFill="1" applyBorder="1" applyProtection="1">
      <protection locked="0"/>
    </xf>
    <xf numFmtId="164" fontId="5" fillId="7" borderId="6" xfId="1" applyNumberFormat="1" applyFont="1" applyFill="1" applyBorder="1" applyProtection="1">
      <protection locked="0"/>
    </xf>
    <xf numFmtId="164" fontId="5" fillId="7" borderId="7" xfId="1" applyNumberFormat="1" applyFont="1" applyFill="1" applyBorder="1" applyProtection="1">
      <protection locked="0"/>
    </xf>
    <xf numFmtId="164" fontId="5" fillId="7" borderId="16" xfId="1" applyNumberFormat="1" applyFont="1" applyFill="1" applyBorder="1" applyProtection="1">
      <protection locked="0"/>
    </xf>
    <xf numFmtId="164" fontId="5" fillId="7" borderId="9" xfId="1" applyNumberFormat="1" applyFont="1" applyFill="1" applyBorder="1" applyProtection="1">
      <protection locked="0"/>
    </xf>
    <xf numFmtId="164" fontId="5" fillId="7" borderId="8" xfId="1" applyNumberFormat="1" applyFont="1" applyFill="1" applyBorder="1" applyProtection="1">
      <protection locked="0"/>
    </xf>
    <xf numFmtId="164" fontId="16" fillId="7" borderId="6" xfId="0" applyNumberFormat="1" applyFont="1" applyFill="1" applyBorder="1" applyProtection="1">
      <protection locked="0"/>
    </xf>
    <xf numFmtId="0" fontId="0" fillId="0" borderId="20" xfId="0" applyBorder="1"/>
    <xf numFmtId="0" fontId="26" fillId="0" borderId="46" xfId="0" applyFont="1" applyBorder="1" applyAlignment="1">
      <alignment horizontal="left"/>
    </xf>
    <xf numFmtId="0" fontId="26" fillId="0" borderId="37" xfId="0" applyFont="1" applyBorder="1" applyAlignment="1">
      <alignment horizontal="left"/>
    </xf>
    <xf numFmtId="0" fontId="26" fillId="0" borderId="38" xfId="0" applyFont="1" applyBorder="1" applyAlignment="1">
      <alignment horizontal="left"/>
    </xf>
    <xf numFmtId="164" fontId="26" fillId="0" borderId="6" xfId="1" applyNumberFormat="1" applyFont="1" applyBorder="1"/>
    <xf numFmtId="0" fontId="26" fillId="0" borderId="22" xfId="0" applyFont="1" applyBorder="1" applyAlignment="1">
      <alignment horizontal="center"/>
    </xf>
    <xf numFmtId="0" fontId="0" fillId="0" borderId="10" xfId="0" applyBorder="1"/>
    <xf numFmtId="0" fontId="0" fillId="0" borderId="11" xfId="0" applyBorder="1"/>
    <xf numFmtId="0" fontId="0" fillId="0" borderId="14" xfId="0" applyBorder="1"/>
    <xf numFmtId="164" fontId="5" fillId="7" borderId="2" xfId="1" applyNumberFormat="1" applyFont="1" applyFill="1" applyBorder="1" applyAlignment="1" applyProtection="1">
      <alignment horizontal="right"/>
      <protection locked="0"/>
    </xf>
    <xf numFmtId="173" fontId="0" fillId="0" borderId="0" xfId="0" applyNumberFormat="1"/>
    <xf numFmtId="164" fontId="14" fillId="7" borderId="2" xfId="1" applyNumberFormat="1" applyFont="1" applyFill="1" applyBorder="1" applyProtection="1">
      <protection locked="0"/>
    </xf>
    <xf numFmtId="10" fontId="16" fillId="7" borderId="2" xfId="0" applyNumberFormat="1" applyFont="1" applyFill="1" applyBorder="1" applyProtection="1">
      <protection locked="0"/>
    </xf>
    <xf numFmtId="164" fontId="27" fillId="0" borderId="8" xfId="0" applyNumberFormat="1" applyFont="1" applyBorder="1"/>
    <xf numFmtId="164" fontId="26" fillId="7" borderId="2" xfId="1" applyNumberFormat="1" applyFont="1" applyFill="1" applyBorder="1" applyProtection="1">
      <protection locked="0"/>
    </xf>
    <xf numFmtId="0" fontId="26" fillId="4" borderId="12" xfId="0" applyFont="1" applyFill="1" applyBorder="1" applyAlignment="1">
      <alignment horizontal="right"/>
    </xf>
    <xf numFmtId="14" fontId="0" fillId="0" borderId="20" xfId="0" applyNumberFormat="1" applyBorder="1"/>
    <xf numFmtId="0" fontId="0" fillId="0" borderId="31" xfId="0" applyBorder="1"/>
    <xf numFmtId="0" fontId="0" fillId="0" borderId="31" xfId="0" applyBorder="1" applyAlignment="1">
      <alignment wrapText="1"/>
    </xf>
    <xf numFmtId="0" fontId="0" fillId="0" borderId="32" xfId="0" applyBorder="1"/>
    <xf numFmtId="0" fontId="0" fillId="0" borderId="21" xfId="0" applyBorder="1"/>
    <xf numFmtId="0" fontId="0" fillId="0" borderId="33" xfId="0" applyBorder="1"/>
    <xf numFmtId="0" fontId="0" fillId="0" borderId="25" xfId="0" applyBorder="1"/>
    <xf numFmtId="0" fontId="0" fillId="0" borderId="26" xfId="0" applyBorder="1"/>
    <xf numFmtId="0" fontId="0" fillId="0" borderId="27" xfId="0" applyBorder="1"/>
    <xf numFmtId="164" fontId="16" fillId="0" borderId="6" xfId="1" applyNumberFormat="1" applyFont="1" applyBorder="1"/>
    <xf numFmtId="164" fontId="12" fillId="0" borderId="6" xfId="1" applyNumberFormat="1" applyFont="1" applyBorder="1"/>
    <xf numFmtId="0" fontId="26" fillId="0" borderId="5" xfId="0" applyFont="1" applyBorder="1" applyAlignment="1">
      <alignment horizontal="right"/>
    </xf>
    <xf numFmtId="0" fontId="8" fillId="0" borderId="5" xfId="0" applyFont="1" applyBorder="1"/>
    <xf numFmtId="164" fontId="8" fillId="0" borderId="2" xfId="0" applyNumberFormat="1" applyFont="1" applyBorder="1"/>
    <xf numFmtId="14" fontId="0" fillId="0" borderId="28" xfId="0" applyNumberFormat="1" applyBorder="1"/>
    <xf numFmtId="0" fontId="0" fillId="0" borderId="29" xfId="0" applyBorder="1"/>
    <xf numFmtId="0" fontId="0" fillId="0" borderId="30" xfId="0" applyBorder="1"/>
    <xf numFmtId="164" fontId="16" fillId="7" borderId="50" xfId="0" applyNumberFormat="1" applyFont="1" applyFill="1" applyBorder="1" applyProtection="1">
      <protection locked="0"/>
    </xf>
    <xf numFmtId="164" fontId="5" fillId="7" borderId="11" xfId="1" applyNumberFormat="1" applyFont="1" applyFill="1" applyBorder="1" applyProtection="1">
      <protection locked="0"/>
    </xf>
    <xf numFmtId="164" fontId="14" fillId="0" borderId="6" xfId="1" applyNumberFormat="1" applyFont="1" applyBorder="1"/>
    <xf numFmtId="0" fontId="26" fillId="0" borderId="18" xfId="0" applyFont="1" applyBorder="1" applyAlignment="1">
      <alignment horizontal="left"/>
    </xf>
    <xf numFmtId="0" fontId="26" fillId="0" borderId="19" xfId="0" applyFont="1" applyBorder="1" applyAlignment="1">
      <alignment horizontal="left"/>
    </xf>
    <xf numFmtId="0" fontId="26" fillId="0" borderId="35" xfId="0" applyFont="1" applyBorder="1" applyAlignment="1">
      <alignment horizontal="left"/>
    </xf>
    <xf numFmtId="164" fontId="26" fillId="0" borderId="13" xfId="1" applyNumberFormat="1" applyFont="1" applyBorder="1"/>
    <xf numFmtId="164" fontId="16" fillId="0" borderId="22" xfId="1" applyNumberFormat="1" applyFont="1" applyBorder="1"/>
    <xf numFmtId="164" fontId="26" fillId="0" borderId="55" xfId="1" applyNumberFormat="1" applyFont="1" applyBorder="1"/>
    <xf numFmtId="14" fontId="0" fillId="0" borderId="25" xfId="0" applyNumberFormat="1" applyBorder="1"/>
    <xf numFmtId="164" fontId="16" fillId="7" borderId="47" xfId="1" applyNumberFormat="1" applyFont="1" applyFill="1" applyBorder="1" applyProtection="1">
      <protection locked="0"/>
    </xf>
    <xf numFmtId="0" fontId="0" fillId="0" borderId="27" xfId="0" applyBorder="1" applyAlignment="1">
      <alignment wrapText="1"/>
    </xf>
    <xf numFmtId="0" fontId="54" fillId="0" borderId="0" xfId="4" applyFont="1" applyAlignment="1">
      <alignment horizontal="left" vertical="center"/>
    </xf>
    <xf numFmtId="0" fontId="5" fillId="7" borderId="42" xfId="0" applyFont="1" applyFill="1" applyBorder="1" applyAlignment="1" applyProtection="1">
      <alignment horizontal="right"/>
      <protection locked="0"/>
    </xf>
    <xf numFmtId="164" fontId="13" fillId="7" borderId="2" xfId="1" applyNumberFormat="1" applyFont="1" applyFill="1" applyBorder="1" applyAlignment="1" applyProtection="1">
      <alignment horizontal="right"/>
      <protection locked="0"/>
    </xf>
    <xf numFmtId="3" fontId="13" fillId="7" borderId="8" xfId="3" applyNumberFormat="1" applyFont="1" applyFill="1" applyBorder="1" applyAlignment="1" applyProtection="1">
      <alignment horizontal="right"/>
      <protection locked="0"/>
    </xf>
    <xf numFmtId="0" fontId="26" fillId="0" borderId="12" xfId="0" applyFont="1" applyBorder="1" applyAlignment="1">
      <alignment horizontal="right" indent="1"/>
    </xf>
    <xf numFmtId="0" fontId="26" fillId="0" borderId="2" xfId="0" applyFont="1" applyBorder="1" applyAlignment="1">
      <alignment horizontal="center"/>
    </xf>
    <xf numFmtId="3" fontId="13" fillId="7" borderId="34" xfId="3" applyNumberFormat="1" applyFont="1" applyFill="1" applyBorder="1" applyAlignment="1" applyProtection="1">
      <protection locked="0"/>
    </xf>
    <xf numFmtId="0" fontId="26" fillId="0" borderId="40" xfId="0" applyFont="1" applyBorder="1"/>
    <xf numFmtId="164" fontId="13" fillId="7" borderId="42" xfId="1" applyNumberFormat="1" applyFont="1" applyFill="1" applyBorder="1" applyAlignment="1" applyProtection="1">
      <protection locked="0"/>
    </xf>
    <xf numFmtId="164" fontId="5" fillId="7" borderId="42" xfId="1" applyNumberFormat="1" applyFont="1" applyFill="1" applyBorder="1" applyAlignment="1" applyProtection="1">
      <protection locked="0"/>
    </xf>
    <xf numFmtId="167" fontId="13" fillId="7" borderId="6" xfId="2" applyNumberFormat="1" applyFont="1" applyFill="1" applyBorder="1" applyAlignment="1" applyProtection="1">
      <protection locked="0"/>
    </xf>
    <xf numFmtId="164" fontId="13" fillId="7" borderId="6" xfId="1" applyNumberFormat="1" applyFont="1" applyFill="1" applyBorder="1" applyAlignment="1" applyProtection="1">
      <protection locked="0"/>
    </xf>
    <xf numFmtId="3" fontId="13" fillId="7" borderId="9" xfId="3" applyNumberFormat="1" applyFont="1" applyFill="1" applyBorder="1" applyAlignment="1" applyProtection="1">
      <protection locked="0"/>
    </xf>
    <xf numFmtId="0" fontId="26" fillId="0" borderId="22" xfId="0" applyFont="1" applyBorder="1"/>
    <xf numFmtId="0" fontId="26" fillId="0" borderId="40" xfId="0" applyFont="1" applyBorder="1" applyAlignment="1">
      <alignment horizontal="right"/>
    </xf>
    <xf numFmtId="164" fontId="26" fillId="0" borderId="0" xfId="1" applyNumberFormat="1" applyFont="1" applyBorder="1"/>
    <xf numFmtId="164" fontId="14" fillId="0" borderId="2" xfId="1" applyNumberFormat="1" applyFont="1" applyBorder="1"/>
    <xf numFmtId="0" fontId="0" fillId="2" borderId="8" xfId="0" applyFill="1" applyBorder="1"/>
    <xf numFmtId="164" fontId="31" fillId="0" borderId="9" xfId="1" applyNumberFormat="1" applyFont="1" applyBorder="1"/>
    <xf numFmtId="164" fontId="16" fillId="0" borderId="2" xfId="1" applyNumberFormat="1" applyFont="1" applyBorder="1"/>
    <xf numFmtId="167" fontId="50" fillId="0" borderId="6" xfId="0" applyNumberFormat="1" applyFont="1" applyBorder="1" applyProtection="1">
      <protection locked="0"/>
    </xf>
    <xf numFmtId="0" fontId="16" fillId="0" borderId="6" xfId="0" applyFont="1" applyBorder="1" applyProtection="1">
      <protection locked="0"/>
    </xf>
    <xf numFmtId="2" fontId="16" fillId="0" borderId="6" xfId="0" applyNumberFormat="1" applyFont="1" applyBorder="1" applyProtection="1">
      <protection locked="0"/>
    </xf>
    <xf numFmtId="0" fontId="41" fillId="0" borderId="2" xfId="4" applyFont="1" applyBorder="1" applyAlignment="1" applyProtection="1">
      <alignment horizontal="right" vertical="center"/>
      <protection locked="0"/>
    </xf>
    <xf numFmtId="169" fontId="41" fillId="0" borderId="2" xfId="4" applyNumberFormat="1" applyFont="1" applyBorder="1" applyAlignment="1" applyProtection="1">
      <alignment horizontal="right" vertical="center"/>
      <protection locked="0"/>
    </xf>
    <xf numFmtId="167" fontId="34" fillId="7" borderId="6" xfId="0" applyNumberFormat="1" applyFont="1" applyFill="1" applyBorder="1" applyProtection="1">
      <protection locked="0"/>
    </xf>
    <xf numFmtId="10" fontId="50" fillId="7" borderId="6" xfId="0" applyNumberFormat="1" applyFont="1" applyFill="1" applyBorder="1" applyProtection="1">
      <protection locked="0"/>
    </xf>
    <xf numFmtId="164" fontId="15" fillId="0" borderId="6" xfId="1" applyNumberFormat="1" applyFont="1" applyFill="1" applyBorder="1" applyProtection="1"/>
    <xf numFmtId="164" fontId="15" fillId="0" borderId="9" xfId="1" applyNumberFormat="1" applyFont="1" applyFill="1" applyBorder="1" applyProtection="1"/>
    <xf numFmtId="164" fontId="15" fillId="0" borderId="6" xfId="1" applyNumberFormat="1" applyFont="1" applyBorder="1" applyProtection="1"/>
    <xf numFmtId="164" fontId="15" fillId="13" borderId="5" xfId="1" applyNumberFormat="1" applyFont="1" applyFill="1" applyBorder="1" applyProtection="1"/>
    <xf numFmtId="164" fontId="15" fillId="13" borderId="2" xfId="1" applyNumberFormat="1" applyFont="1" applyFill="1" applyBorder="1" applyProtection="1"/>
    <xf numFmtId="164" fontId="15" fillId="13" borderId="6" xfId="1" applyNumberFormat="1" applyFont="1" applyFill="1" applyBorder="1" applyProtection="1"/>
    <xf numFmtId="164" fontId="15" fillId="13" borderId="7" xfId="1" applyNumberFormat="1" applyFont="1" applyFill="1" applyBorder="1" applyProtection="1"/>
    <xf numFmtId="164" fontId="15" fillId="13" borderId="8" xfId="1" applyNumberFormat="1" applyFont="1" applyFill="1" applyBorder="1" applyProtection="1"/>
    <xf numFmtId="164" fontId="15" fillId="13" borderId="9" xfId="1" applyNumberFormat="1" applyFont="1" applyFill="1" applyBorder="1" applyProtection="1"/>
    <xf numFmtId="164" fontId="26" fillId="13" borderId="23" xfId="1" applyNumberFormat="1" applyFont="1" applyFill="1" applyBorder="1" applyProtection="1"/>
    <xf numFmtId="164" fontId="26" fillId="13" borderId="12" xfId="1" applyNumberFormat="1" applyFont="1" applyFill="1" applyBorder="1" applyProtection="1"/>
    <xf numFmtId="164" fontId="26" fillId="13" borderId="22" xfId="1" applyNumberFormat="1" applyFont="1" applyFill="1" applyBorder="1" applyProtection="1"/>
    <xf numFmtId="9" fontId="15" fillId="13" borderId="5" xfId="2" applyFont="1" applyFill="1" applyBorder="1" applyProtection="1"/>
    <xf numFmtId="9" fontId="15" fillId="13" borderId="2" xfId="2" applyFont="1" applyFill="1" applyBorder="1" applyProtection="1"/>
    <xf numFmtId="9" fontId="15" fillId="13" borderId="6" xfId="2" applyFont="1" applyFill="1" applyBorder="1" applyProtection="1"/>
    <xf numFmtId="43" fontId="15" fillId="13" borderId="5" xfId="1" applyFont="1" applyFill="1" applyBorder="1" applyProtection="1"/>
    <xf numFmtId="43" fontId="15" fillId="13" borderId="2" xfId="1" applyFont="1" applyFill="1" applyBorder="1" applyProtection="1"/>
    <xf numFmtId="43" fontId="15" fillId="13" borderId="6" xfId="1" applyFont="1" applyFill="1" applyBorder="1" applyProtection="1"/>
    <xf numFmtId="165" fontId="34" fillId="13" borderId="7" xfId="2" applyNumberFormat="1" applyFont="1" applyFill="1" applyBorder="1" applyProtection="1"/>
    <xf numFmtId="165" fontId="34" fillId="13" borderId="8" xfId="2" applyNumberFormat="1" applyFont="1" applyFill="1" applyBorder="1" applyProtection="1"/>
    <xf numFmtId="165" fontId="34" fillId="13" borderId="9" xfId="2" applyNumberFormat="1" applyFont="1" applyFill="1" applyBorder="1" applyProtection="1"/>
    <xf numFmtId="164" fontId="5" fillId="13" borderId="5" xfId="1" applyNumberFormat="1" applyFont="1" applyFill="1" applyBorder="1" applyProtection="1"/>
    <xf numFmtId="164" fontId="5" fillId="13" borderId="2" xfId="1" applyNumberFormat="1" applyFont="1" applyFill="1" applyBorder="1" applyProtection="1"/>
    <xf numFmtId="164" fontId="5" fillId="13" borderId="6" xfId="1" applyNumberFormat="1" applyFont="1" applyFill="1" applyBorder="1" applyProtection="1"/>
    <xf numFmtId="164" fontId="5" fillId="13" borderId="7" xfId="1" applyNumberFormat="1" applyFont="1" applyFill="1" applyBorder="1" applyProtection="1"/>
    <xf numFmtId="164" fontId="5" fillId="13" borderId="16" xfId="1" applyNumberFormat="1" applyFont="1" applyFill="1" applyBorder="1" applyProtection="1"/>
    <xf numFmtId="164" fontId="5" fillId="13" borderId="9" xfId="1" applyNumberFormat="1" applyFont="1" applyFill="1" applyBorder="1" applyProtection="1"/>
    <xf numFmtId="164" fontId="5" fillId="13" borderId="11" xfId="1" applyNumberFormat="1" applyFont="1" applyFill="1" applyBorder="1" applyProtection="1"/>
    <xf numFmtId="164" fontId="5" fillId="13" borderId="8" xfId="1" applyNumberFormat="1" applyFont="1" applyFill="1" applyBorder="1" applyProtection="1"/>
    <xf numFmtId="164" fontId="15" fillId="7" borderId="61" xfId="1" applyNumberFormat="1" applyFont="1" applyFill="1" applyBorder="1" applyProtection="1">
      <protection locked="0"/>
    </xf>
    <xf numFmtId="164" fontId="15" fillId="7" borderId="62" xfId="1" applyNumberFormat="1" applyFont="1" applyFill="1" applyBorder="1" applyProtection="1">
      <protection locked="0"/>
    </xf>
    <xf numFmtId="164" fontId="26" fillId="0" borderId="60" xfId="1" applyNumberFormat="1" applyFont="1" applyFill="1" applyBorder="1" applyProtection="1"/>
    <xf numFmtId="9" fontId="15" fillId="0" borderId="61" xfId="2" applyFont="1" applyFill="1" applyBorder="1" applyProtection="1"/>
    <xf numFmtId="164" fontId="15" fillId="0" borderId="61" xfId="1" applyNumberFormat="1" applyFont="1" applyFill="1" applyBorder="1" applyProtection="1"/>
    <xf numFmtId="164" fontId="15" fillId="0" borderId="62" xfId="1" applyNumberFormat="1" applyFont="1" applyFill="1" applyBorder="1" applyProtection="1"/>
    <xf numFmtId="164" fontId="26" fillId="0" borderId="58" xfId="1" applyNumberFormat="1" applyFont="1" applyFill="1" applyBorder="1" applyProtection="1"/>
    <xf numFmtId="43" fontId="15" fillId="0" borderId="61" xfId="1" applyFont="1" applyFill="1" applyBorder="1" applyProtection="1"/>
    <xf numFmtId="165" fontId="34" fillId="13" borderId="62" xfId="2" applyNumberFormat="1" applyFont="1" applyFill="1" applyBorder="1" applyProtection="1"/>
    <xf numFmtId="164" fontId="15" fillId="7" borderId="10" xfId="1" applyNumberFormat="1" applyFont="1" applyFill="1" applyBorder="1" applyProtection="1">
      <protection locked="0"/>
    </xf>
    <xf numFmtId="164" fontId="15" fillId="7" borderId="17" xfId="1" applyNumberFormat="1" applyFont="1" applyFill="1" applyBorder="1" applyProtection="1">
      <protection locked="0"/>
    </xf>
    <xf numFmtId="0" fontId="2" fillId="0" borderId="0" xfId="0" applyFont="1"/>
    <xf numFmtId="0" fontId="2" fillId="0" borderId="2" xfId="0" applyFont="1" applyBorder="1"/>
    <xf numFmtId="0" fontId="2" fillId="0" borderId="14" xfId="0" applyFont="1" applyBorder="1" applyAlignment="1">
      <alignment horizontal="left"/>
    </xf>
    <xf numFmtId="0" fontId="26" fillId="0" borderId="3" xfId="0" applyFont="1" applyBorder="1" applyAlignment="1">
      <alignment horizontal="center"/>
    </xf>
    <xf numFmtId="0" fontId="26" fillId="0" borderId="4" xfId="0" applyFont="1" applyBorder="1" applyAlignment="1">
      <alignment horizontal="center"/>
    </xf>
    <xf numFmtId="9" fontId="52" fillId="11" borderId="15" xfId="0" applyNumberFormat="1" applyFont="1" applyFill="1" applyBorder="1" applyAlignment="1">
      <alignment wrapText="1"/>
    </xf>
    <xf numFmtId="0" fontId="26" fillId="6" borderId="2" xfId="0" applyFont="1" applyFill="1" applyBorder="1" applyAlignment="1">
      <alignment horizontal="center" wrapText="1"/>
    </xf>
    <xf numFmtId="0" fontId="26" fillId="6" borderId="6" xfId="0" applyFont="1" applyFill="1" applyBorder="1" applyAlignment="1">
      <alignment horizontal="center" wrapText="1"/>
    </xf>
    <xf numFmtId="164" fontId="0" fillId="7" borderId="2" xfId="1" applyNumberFormat="1" applyFont="1" applyFill="1" applyBorder="1" applyAlignment="1" applyProtection="1">
      <alignment horizontal="center"/>
      <protection locked="0"/>
    </xf>
    <xf numFmtId="0" fontId="0" fillId="0" borderId="8" xfId="0" applyBorder="1" applyAlignment="1">
      <alignment horizontal="center"/>
    </xf>
    <xf numFmtId="164" fontId="26" fillId="0" borderId="8" xfId="0" applyNumberFormat="1" applyFont="1" applyBorder="1" applyAlignment="1">
      <alignment horizontal="center"/>
    </xf>
    <xf numFmtId="9" fontId="0" fillId="0" borderId="0" xfId="0" applyNumberFormat="1"/>
    <xf numFmtId="0" fontId="55" fillId="7" borderId="42" xfId="4" applyFont="1" applyFill="1" applyBorder="1" applyAlignment="1" applyProtection="1">
      <alignment horizontal="left"/>
      <protection locked="0"/>
    </xf>
    <xf numFmtId="0" fontId="55" fillId="7" borderId="10" xfId="4" applyFont="1" applyFill="1" applyBorder="1" applyAlignment="1" applyProtection="1">
      <alignment horizontal="left"/>
      <protection locked="0"/>
    </xf>
    <xf numFmtId="0" fontId="55" fillId="7" borderId="45" xfId="4" applyFont="1" applyFill="1" applyBorder="1" applyAlignment="1" applyProtection="1">
      <alignment horizontal="left"/>
      <protection locked="0"/>
    </xf>
    <xf numFmtId="165" fontId="61" fillId="0" borderId="0" xfId="2" applyNumberFormat="1" applyFont="1" applyFill="1" applyBorder="1" applyAlignment="1" applyProtection="1">
      <alignment horizontal="right"/>
    </xf>
    <xf numFmtId="0" fontId="5" fillId="0" borderId="14" xfId="0" applyFont="1" applyBorder="1" applyAlignment="1">
      <alignment horizontal="left"/>
    </xf>
    <xf numFmtId="0" fontId="16" fillId="0" borderId="10" xfId="0" applyFont="1" applyBorder="1" applyAlignment="1">
      <alignment horizontal="left"/>
    </xf>
    <xf numFmtId="0" fontId="16" fillId="0" borderId="11" xfId="0" applyFont="1" applyBorder="1" applyAlignment="1">
      <alignment horizontal="left"/>
    </xf>
    <xf numFmtId="0" fontId="5" fillId="0" borderId="10" xfId="0" applyFont="1" applyBorder="1" applyAlignment="1">
      <alignment horizontal="left"/>
    </xf>
    <xf numFmtId="0" fontId="5" fillId="0" borderId="11" xfId="0" applyFont="1" applyBorder="1" applyAlignment="1">
      <alignment horizontal="left"/>
    </xf>
    <xf numFmtId="0" fontId="0" fillId="0" borderId="8" xfId="0" applyBorder="1"/>
    <xf numFmtId="0" fontId="26" fillId="0" borderId="17" xfId="0" applyFont="1" applyBorder="1" applyAlignment="1">
      <alignment horizontal="left"/>
    </xf>
    <xf numFmtId="0" fontId="26" fillId="0" borderId="16" xfId="0" applyFont="1" applyBorder="1" applyAlignment="1">
      <alignment horizontal="left"/>
    </xf>
    <xf numFmtId="0" fontId="0" fillId="7" borderId="2" xfId="0" applyFill="1" applyBorder="1" applyProtection="1">
      <protection locked="0"/>
    </xf>
    <xf numFmtId="0" fontId="26" fillId="0" borderId="15" xfId="0" applyFont="1" applyBorder="1" applyAlignment="1">
      <alignment horizontal="left"/>
    </xf>
    <xf numFmtId="0" fontId="32" fillId="0" borderId="0" xfId="0" applyFont="1" applyAlignment="1">
      <alignment horizontal="left"/>
    </xf>
    <xf numFmtId="0" fontId="26" fillId="0" borderId="0" xfId="0" applyFont="1" applyAlignment="1">
      <alignment horizontal="left"/>
    </xf>
    <xf numFmtId="0" fontId="13" fillId="2" borderId="25" xfId="0" applyFont="1" applyFill="1" applyBorder="1"/>
    <xf numFmtId="0" fontId="13" fillId="2" borderId="26" xfId="0" applyFont="1" applyFill="1" applyBorder="1"/>
    <xf numFmtId="164" fontId="16" fillId="0" borderId="42" xfId="1" applyNumberFormat="1" applyFont="1" applyFill="1" applyBorder="1" applyProtection="1"/>
    <xf numFmtId="0" fontId="12" fillId="0" borderId="5" xfId="0" applyFont="1" applyBorder="1" applyAlignment="1">
      <alignment horizontal="center"/>
    </xf>
    <xf numFmtId="164" fontId="12" fillId="0" borderId="2" xfId="1" applyNumberFormat="1" applyFont="1" applyFill="1" applyBorder="1" applyProtection="1"/>
    <xf numFmtId="164" fontId="34" fillId="0" borderId="2" xfId="1" applyNumberFormat="1" applyFont="1" applyFill="1" applyBorder="1" applyProtection="1"/>
    <xf numFmtId="9" fontId="11" fillId="0" borderId="2" xfId="2" applyFont="1" applyFill="1" applyBorder="1" applyAlignment="1" applyProtection="1">
      <alignment horizontal="right"/>
    </xf>
    <xf numFmtId="0" fontId="26" fillId="0" borderId="23" xfId="1" applyNumberFormat="1" applyFont="1" applyBorder="1" applyAlignment="1" applyProtection="1">
      <alignment horizontal="right"/>
    </xf>
    <xf numFmtId="164" fontId="15" fillId="0" borderId="5" xfId="1" applyNumberFormat="1" applyFont="1" applyBorder="1" applyProtection="1"/>
    <xf numFmtId="164" fontId="15" fillId="0" borderId="7" xfId="1" applyNumberFormat="1" applyFont="1" applyBorder="1" applyProtection="1"/>
    <xf numFmtId="164" fontId="26" fillId="0" borderId="23" xfId="1" applyNumberFormat="1" applyFont="1" applyBorder="1" applyProtection="1"/>
    <xf numFmtId="9" fontId="15" fillId="0" borderId="5" xfId="2" applyFont="1" applyBorder="1" applyProtection="1"/>
    <xf numFmtId="43" fontId="15" fillId="0" borderId="5" xfId="1" applyFont="1" applyBorder="1" applyProtection="1"/>
    <xf numFmtId="164" fontId="36" fillId="0" borderId="5" xfId="1" applyNumberFormat="1" applyFont="1" applyBorder="1" applyAlignment="1" applyProtection="1">
      <alignment horizontal="center"/>
    </xf>
    <xf numFmtId="10" fontId="15" fillId="0" borderId="5" xfId="2" applyNumberFormat="1" applyFont="1" applyFill="1" applyBorder="1" applyAlignment="1" applyProtection="1">
      <alignment horizontal="center"/>
    </xf>
    <xf numFmtId="10" fontId="15" fillId="0" borderId="7" xfId="2" applyNumberFormat="1" applyFont="1" applyFill="1" applyBorder="1" applyAlignment="1" applyProtection="1">
      <alignment horizontal="center"/>
    </xf>
    <xf numFmtId="164" fontId="34" fillId="0" borderId="7" xfId="1" applyNumberFormat="1" applyFont="1" applyBorder="1" applyProtection="1"/>
    <xf numFmtId="0" fontId="26" fillId="0" borderId="3" xfId="1" applyNumberFormat="1" applyFont="1" applyBorder="1" applyAlignment="1" applyProtection="1">
      <alignment horizontal="right"/>
    </xf>
    <xf numFmtId="0" fontId="26" fillId="0" borderId="4" xfId="1" applyNumberFormat="1" applyFont="1" applyBorder="1" applyAlignment="1" applyProtection="1">
      <alignment horizontal="right"/>
    </xf>
    <xf numFmtId="0" fontId="26" fillId="0" borderId="60" xfId="1" applyNumberFormat="1" applyFont="1" applyBorder="1" applyAlignment="1" applyProtection="1">
      <alignment horizontal="right"/>
    </xf>
    <xf numFmtId="0" fontId="39" fillId="0" borderId="35" xfId="1" applyNumberFormat="1" applyFont="1" applyBorder="1" applyAlignment="1" applyProtection="1">
      <alignment horizontal="right" shrinkToFit="1"/>
    </xf>
    <xf numFmtId="0" fontId="39" fillId="0" borderId="4" xfId="1" applyNumberFormat="1" applyFont="1" applyBorder="1" applyAlignment="1" applyProtection="1">
      <alignment horizontal="right" shrinkToFit="1"/>
    </xf>
    <xf numFmtId="0" fontId="39" fillId="0" borderId="13" xfId="1" applyNumberFormat="1" applyFont="1" applyBorder="1" applyAlignment="1" applyProtection="1">
      <alignment horizontal="right" shrinkToFit="1"/>
    </xf>
    <xf numFmtId="0" fontId="26" fillId="0" borderId="12" xfId="1" applyNumberFormat="1" applyFont="1" applyBorder="1" applyAlignment="1" applyProtection="1">
      <alignment horizontal="right"/>
    </xf>
    <xf numFmtId="0" fontId="26" fillId="0" borderId="58" xfId="1" applyNumberFormat="1" applyFont="1" applyBorder="1" applyAlignment="1" applyProtection="1">
      <alignment horizontal="right"/>
    </xf>
    <xf numFmtId="0" fontId="39" fillId="0" borderId="41" xfId="1" applyNumberFormat="1" applyFont="1" applyBorder="1" applyAlignment="1" applyProtection="1">
      <alignment horizontal="right" shrinkToFit="1"/>
    </xf>
    <xf numFmtId="0" fontId="39" fillId="0" borderId="12" xfId="1" applyNumberFormat="1" applyFont="1" applyBorder="1" applyAlignment="1" applyProtection="1">
      <alignment horizontal="right" shrinkToFit="1"/>
    </xf>
    <xf numFmtId="0" fontId="39" fillId="0" borderId="22" xfId="1" applyNumberFormat="1" applyFont="1" applyBorder="1" applyAlignment="1" applyProtection="1">
      <alignment horizontal="right" shrinkToFit="1"/>
    </xf>
    <xf numFmtId="165" fontId="20" fillId="0" borderId="5" xfId="2" applyNumberFormat="1" applyFont="1" applyBorder="1" applyProtection="1"/>
    <xf numFmtId="0" fontId="26" fillId="0" borderId="57" xfId="0" applyFont="1" applyBorder="1" applyAlignment="1">
      <alignment horizontal="right" vertical="center"/>
    </xf>
    <xf numFmtId="0" fontId="39" fillId="0" borderId="3" xfId="0" applyFont="1" applyBorder="1" applyAlignment="1">
      <alignment horizontal="right" shrinkToFit="1"/>
    </xf>
    <xf numFmtId="0" fontId="39" fillId="0" borderId="4" xfId="0" applyFont="1" applyBorder="1" applyAlignment="1">
      <alignment horizontal="right" shrinkToFit="1"/>
    </xf>
    <xf numFmtId="0" fontId="39" fillId="0" borderId="13" xfId="0" applyFont="1" applyBorder="1" applyAlignment="1">
      <alignment horizontal="right" shrinkToFit="1"/>
    </xf>
    <xf numFmtId="0" fontId="26" fillId="0" borderId="61" xfId="0" applyFont="1" applyBorder="1" applyAlignment="1">
      <alignment horizontal="right"/>
    </xf>
    <xf numFmtId="1" fontId="26" fillId="0" borderId="62" xfId="0" applyNumberFormat="1" applyFont="1" applyBorder="1" applyAlignment="1">
      <alignment horizontal="right"/>
    </xf>
    <xf numFmtId="164" fontId="14" fillId="13" borderId="6" xfId="1" applyNumberFormat="1" applyFont="1" applyFill="1" applyBorder="1" applyProtection="1"/>
    <xf numFmtId="0" fontId="2" fillId="7" borderId="2" xfId="0" applyFont="1" applyFill="1" applyBorder="1" applyAlignment="1" applyProtection="1">
      <alignment horizontal="right"/>
      <protection locked="0"/>
    </xf>
    <xf numFmtId="0" fontId="2" fillId="7" borderId="6" xfId="0" applyFont="1" applyFill="1" applyBorder="1" applyAlignment="1" applyProtection="1">
      <alignment horizontal="right"/>
      <protection locked="0"/>
    </xf>
    <xf numFmtId="164" fontId="16" fillId="13" borderId="2" xfId="1" applyNumberFormat="1" applyFont="1" applyFill="1" applyBorder="1" applyProtection="1"/>
    <xf numFmtId="164" fontId="16" fillId="13" borderId="6" xfId="1" applyNumberFormat="1" applyFont="1" applyFill="1" applyBorder="1" applyProtection="1"/>
    <xf numFmtId="164" fontId="16" fillId="0" borderId="6" xfId="1" applyNumberFormat="1" applyFont="1" applyBorder="1" applyProtection="1"/>
    <xf numFmtId="164" fontId="16" fillId="13" borderId="45" xfId="1" applyNumberFormat="1" applyFont="1" applyFill="1" applyBorder="1" applyProtection="1"/>
    <xf numFmtId="164" fontId="16" fillId="4" borderId="2" xfId="1" applyNumberFormat="1" applyFont="1" applyFill="1" applyBorder="1" applyProtection="1"/>
    <xf numFmtId="164" fontId="26" fillId="0" borderId="8" xfId="1" applyNumberFormat="1" applyFont="1" applyBorder="1" applyProtection="1"/>
    <xf numFmtId="164" fontId="26" fillId="0" borderId="9" xfId="1" applyNumberFormat="1" applyFont="1" applyBorder="1" applyProtection="1"/>
    <xf numFmtId="164" fontId="26" fillId="0" borderId="34" xfId="1" applyNumberFormat="1" applyFont="1" applyBorder="1" applyProtection="1"/>
    <xf numFmtId="0" fontId="29" fillId="0" borderId="0" xfId="0" applyFont="1"/>
    <xf numFmtId="3" fontId="29" fillId="0" borderId="0" xfId="0" applyNumberFormat="1" applyFont="1"/>
    <xf numFmtId="9" fontId="52" fillId="11" borderId="25" xfId="0" applyNumberFormat="1" applyFont="1" applyFill="1" applyBorder="1" applyAlignment="1">
      <alignment wrapText="1"/>
    </xf>
    <xf numFmtId="0" fontId="33" fillId="11" borderId="26" xfId="0" applyFont="1" applyFill="1" applyBorder="1"/>
    <xf numFmtId="0" fontId="33" fillId="11" borderId="27" xfId="0" applyFont="1" applyFill="1" applyBorder="1"/>
    <xf numFmtId="0" fontId="2" fillId="0" borderId="0" xfId="7"/>
    <xf numFmtId="0" fontId="57" fillId="6" borderId="2" xfId="8" applyFont="1" applyFill="1" applyBorder="1" applyAlignment="1">
      <alignment horizontal="center" wrapText="1"/>
    </xf>
    <xf numFmtId="37" fontId="2" fillId="0" borderId="2" xfId="7" applyNumberFormat="1" applyBorder="1"/>
    <xf numFmtId="0" fontId="2" fillId="0" borderId="0" xfId="7" applyAlignment="1">
      <alignment vertical="center"/>
    </xf>
    <xf numFmtId="14" fontId="57" fillId="6" borderId="2" xfId="8" applyNumberFormat="1" applyFont="1" applyFill="1" applyBorder="1" applyAlignment="1">
      <alignment horizontal="center" wrapText="1"/>
    </xf>
    <xf numFmtId="9" fontId="57" fillId="6" borderId="2" xfId="8" applyNumberFormat="1" applyFont="1" applyFill="1" applyBorder="1" applyAlignment="1">
      <alignment horizontal="center" wrapText="1"/>
    </xf>
    <xf numFmtId="9" fontId="2" fillId="7" borderId="2" xfId="7" applyNumberFormat="1" applyFill="1" applyBorder="1" applyProtection="1">
      <protection locked="0"/>
    </xf>
    <xf numFmtId="9" fontId="2" fillId="0" borderId="2" xfId="9" applyFont="1" applyBorder="1" applyProtection="1"/>
    <xf numFmtId="3" fontId="34" fillId="7" borderId="2" xfId="8" applyNumberFormat="1" applyFont="1" applyFill="1" applyBorder="1" applyProtection="1">
      <protection locked="0"/>
    </xf>
    <xf numFmtId="37" fontId="34" fillId="0" borderId="2" xfId="8" applyNumberFormat="1" applyFont="1" applyBorder="1"/>
    <xf numFmtId="3" fontId="34" fillId="0" borderId="2" xfId="8" applyNumberFormat="1" applyFont="1" applyBorder="1"/>
    <xf numFmtId="3" fontId="57" fillId="0" borderId="12" xfId="8" applyNumberFormat="1" applyFont="1" applyBorder="1"/>
    <xf numFmtId="37" fontId="57" fillId="0" borderId="12" xfId="8" applyNumberFormat="1" applyFont="1" applyBorder="1"/>
    <xf numFmtId="3" fontId="57" fillId="0" borderId="2" xfId="8" applyNumberFormat="1" applyFont="1" applyBorder="1"/>
    <xf numFmtId="174" fontId="2" fillId="0" borderId="0" xfId="7" applyNumberFormat="1"/>
    <xf numFmtId="3" fontId="2" fillId="0" borderId="0" xfId="7" applyNumberFormat="1"/>
    <xf numFmtId="0" fontId="57" fillId="6" borderId="2" xfId="8" applyFont="1" applyFill="1" applyBorder="1" applyAlignment="1">
      <alignment horizontal="right" wrapText="1"/>
    </xf>
    <xf numFmtId="0" fontId="57" fillId="6" borderId="2" xfId="8" applyFont="1" applyFill="1" applyBorder="1" applyAlignment="1">
      <alignment horizontal="left" wrapText="1"/>
    </xf>
    <xf numFmtId="167" fontId="2" fillId="7" borderId="2" xfId="9" applyNumberFormat="1" applyFont="1" applyFill="1" applyBorder="1" applyProtection="1">
      <protection locked="0"/>
    </xf>
    <xf numFmtId="0" fontId="57" fillId="0" borderId="2" xfId="8" applyFont="1" applyBorder="1" applyAlignment="1">
      <alignment horizontal="center" wrapText="1"/>
    </xf>
    <xf numFmtId="37" fontId="2" fillId="7" borderId="2" xfId="7" applyNumberFormat="1" applyFill="1" applyBorder="1" applyProtection="1">
      <protection locked="0"/>
    </xf>
    <xf numFmtId="37" fontId="2" fillId="0" borderId="0" xfId="7" applyNumberFormat="1"/>
    <xf numFmtId="164" fontId="2" fillId="7" borderId="42" xfId="10" applyNumberFormat="1" applyFont="1" applyFill="1" applyBorder="1" applyAlignment="1" applyProtection="1">
      <alignment horizontal="right"/>
      <protection locked="0"/>
    </xf>
    <xf numFmtId="164" fontId="2" fillId="7" borderId="11" xfId="10" applyNumberFormat="1" applyFont="1" applyFill="1" applyBorder="1" applyAlignment="1" applyProtection="1">
      <alignment horizontal="right"/>
      <protection locked="0"/>
    </xf>
    <xf numFmtId="164" fontId="2" fillId="7" borderId="2" xfId="1" applyNumberFormat="1" applyFont="1" applyFill="1" applyBorder="1" applyProtection="1">
      <protection locked="0"/>
    </xf>
    <xf numFmtId="3" fontId="57" fillId="0" borderId="0" xfId="8" applyNumberFormat="1" applyFont="1"/>
    <xf numFmtId="37" fontId="57" fillId="0" borderId="0" xfId="8" applyNumberFormat="1" applyFont="1"/>
    <xf numFmtId="3" fontId="57" fillId="0" borderId="67" xfId="8" applyNumberFormat="1" applyFont="1" applyBorder="1"/>
    <xf numFmtId="0" fontId="57" fillId="0" borderId="2" xfId="8" applyFont="1" applyBorder="1" applyAlignment="1">
      <alignment horizontal="left"/>
    </xf>
    <xf numFmtId="175" fontId="57" fillId="0" borderId="2" xfId="8" applyNumberFormat="1" applyFont="1" applyBorder="1"/>
    <xf numFmtId="3" fontId="34" fillId="7" borderId="2" xfId="8" applyNumberFormat="1" applyFont="1" applyFill="1" applyBorder="1" applyAlignment="1" applyProtection="1">
      <alignment horizontal="right"/>
      <protection locked="0"/>
    </xf>
    <xf numFmtId="3" fontId="34" fillId="7" borderId="6" xfId="8" applyNumberFormat="1" applyFont="1" applyFill="1" applyBorder="1" applyProtection="1">
      <protection locked="0"/>
    </xf>
    <xf numFmtId="3" fontId="34" fillId="7" borderId="42" xfId="8" applyNumberFormat="1" applyFont="1" applyFill="1" applyBorder="1" applyAlignment="1" applyProtection="1">
      <alignment horizontal="right"/>
      <protection locked="0"/>
    </xf>
    <xf numFmtId="3" fontId="34" fillId="7" borderId="6" xfId="8" applyNumberFormat="1" applyFont="1" applyFill="1" applyBorder="1" applyAlignment="1" applyProtection="1">
      <alignment horizontal="left"/>
      <protection locked="0"/>
    </xf>
    <xf numFmtId="0" fontId="34" fillId="7" borderId="6" xfId="8" applyFont="1" applyFill="1" applyBorder="1" applyProtection="1">
      <protection locked="0"/>
    </xf>
    <xf numFmtId="3" fontId="59" fillId="7" borderId="2" xfId="8" applyNumberFormat="1" applyFont="1" applyFill="1" applyBorder="1" applyAlignment="1" applyProtection="1">
      <alignment horizontal="right"/>
      <protection locked="0"/>
    </xf>
    <xf numFmtId="0" fontId="57" fillId="0" borderId="42" xfId="8" applyFont="1" applyBorder="1" applyAlignment="1">
      <alignment horizontal="left"/>
    </xf>
    <xf numFmtId="0" fontId="57" fillId="0" borderId="10" xfId="8" applyFont="1" applyBorder="1" applyAlignment="1">
      <alignment horizontal="left"/>
    </xf>
    <xf numFmtId="0" fontId="57" fillId="0" borderId="11" xfId="8" applyFont="1" applyBorder="1" applyAlignment="1">
      <alignment horizontal="left"/>
    </xf>
    <xf numFmtId="0" fontId="57" fillId="0" borderId="36" xfId="8" applyFont="1" applyBorder="1" applyAlignment="1">
      <alignment horizontal="left"/>
    </xf>
    <xf numFmtId="0" fontId="57" fillId="0" borderId="37" xfId="8" applyFont="1" applyBorder="1" applyAlignment="1">
      <alignment horizontal="left"/>
    </xf>
    <xf numFmtId="0" fontId="57" fillId="0" borderId="38" xfId="8" applyFont="1" applyBorder="1" applyAlignment="1">
      <alignment horizontal="left"/>
    </xf>
    <xf numFmtId="0" fontId="10" fillId="0" borderId="2" xfId="0" applyFont="1" applyBorder="1" applyAlignment="1">
      <alignment horizontal="center"/>
    </xf>
    <xf numFmtId="0" fontId="39" fillId="0" borderId="2" xfId="0" applyFont="1" applyBorder="1" applyAlignment="1">
      <alignment horizontal="left"/>
    </xf>
    <xf numFmtId="0" fontId="26" fillId="0" borderId="6" xfId="0" applyFont="1" applyBorder="1" applyAlignment="1">
      <alignment horizontal="center"/>
    </xf>
    <xf numFmtId="0" fontId="9" fillId="0" borderId="10" xfId="0" applyFont="1" applyBorder="1" applyAlignment="1">
      <alignment horizontal="left"/>
    </xf>
    <xf numFmtId="0" fontId="9" fillId="0" borderId="11" xfId="0" applyFont="1" applyBorder="1" applyAlignment="1">
      <alignment horizontal="left"/>
    </xf>
    <xf numFmtId="9" fontId="20" fillId="0" borderId="7" xfId="2" applyFont="1" applyBorder="1" applyProtection="1"/>
    <xf numFmtId="9" fontId="20" fillId="0" borderId="8" xfId="2" applyFont="1" applyBorder="1" applyAlignment="1" applyProtection="1">
      <alignment horizontal="right"/>
    </xf>
    <xf numFmtId="9" fontId="20" fillId="0" borderId="9" xfId="2" applyFont="1" applyBorder="1" applyAlignment="1" applyProtection="1">
      <alignment horizontal="right"/>
    </xf>
    <xf numFmtId="9" fontId="20" fillId="0" borderId="62" xfId="2" applyFont="1" applyBorder="1" applyAlignment="1" applyProtection="1">
      <alignment horizontal="right"/>
    </xf>
    <xf numFmtId="9" fontId="20" fillId="0" borderId="16" xfId="2" applyFont="1" applyBorder="1" applyAlignment="1" applyProtection="1">
      <alignment horizontal="right"/>
    </xf>
    <xf numFmtId="0" fontId="20" fillId="0" borderId="26" xfId="0" applyFont="1" applyBorder="1" applyAlignment="1">
      <alignment horizontal="left"/>
    </xf>
    <xf numFmtId="1" fontId="20" fillId="0" borderId="26" xfId="0" applyNumberFormat="1" applyFont="1" applyBorder="1" applyAlignment="1">
      <alignment horizontal="right"/>
    </xf>
    <xf numFmtId="1" fontId="34" fillId="0" borderId="26" xfId="0" applyNumberFormat="1" applyFont="1" applyBorder="1" applyAlignment="1">
      <alignment horizontal="right"/>
    </xf>
    <xf numFmtId="0" fontId="5" fillId="7" borderId="6" xfId="0" applyFont="1" applyFill="1" applyBorder="1" applyAlignment="1" applyProtection="1">
      <alignment horizontal="right"/>
      <protection locked="0"/>
    </xf>
    <xf numFmtId="0" fontId="29" fillId="0" borderId="2" xfId="0" applyFont="1" applyBorder="1" applyAlignment="1">
      <alignment horizontal="right"/>
    </xf>
    <xf numFmtId="164" fontId="14" fillId="0" borderId="6" xfId="1" applyNumberFormat="1" applyFont="1" applyFill="1" applyBorder="1" applyProtection="1"/>
    <xf numFmtId="0" fontId="27" fillId="3" borderId="30" xfId="0" applyFont="1" applyFill="1" applyBorder="1"/>
    <xf numFmtId="164" fontId="12" fillId="0" borderId="6" xfId="1" applyNumberFormat="1" applyFont="1" applyBorder="1" applyProtection="1"/>
    <xf numFmtId="164" fontId="26" fillId="0" borderId="8" xfId="1" applyNumberFormat="1" applyFont="1" applyBorder="1" applyAlignment="1" applyProtection="1">
      <alignment horizontal="right"/>
    </xf>
    <xf numFmtId="0" fontId="26" fillId="0" borderId="0" xfId="0" applyFont="1" applyAlignment="1">
      <alignment horizontal="center"/>
    </xf>
    <xf numFmtId="164" fontId="26" fillId="0" borderId="0" xfId="0" applyNumberFormat="1" applyFont="1"/>
    <xf numFmtId="10" fontId="16" fillId="0" borderId="6" xfId="0" applyNumberFormat="1" applyFont="1" applyBorder="1"/>
    <xf numFmtId="2" fontId="16" fillId="0" borderId="2" xfId="0" applyNumberFormat="1" applyFont="1" applyBorder="1"/>
    <xf numFmtId="2" fontId="16" fillId="0" borderId="6" xfId="0" applyNumberFormat="1" applyFont="1" applyBorder="1"/>
    <xf numFmtId="164" fontId="26" fillId="0" borderId="47" xfId="1" applyNumberFormat="1" applyFont="1" applyFill="1" applyBorder="1" applyProtection="1"/>
    <xf numFmtId="164" fontId="16" fillId="0" borderId="6" xfId="1" applyNumberFormat="1" applyFont="1" applyFill="1" applyBorder="1" applyProtection="1"/>
    <xf numFmtId="167" fontId="34" fillId="0" borderId="6" xfId="0" applyNumberFormat="1" applyFont="1" applyBorder="1"/>
    <xf numFmtId="0" fontId="16" fillId="0" borderId="6" xfId="0" applyFont="1" applyBorder="1"/>
    <xf numFmtId="164" fontId="26" fillId="0" borderId="9" xfId="1" applyNumberFormat="1" applyFont="1" applyFill="1" applyBorder="1" applyProtection="1"/>
    <xf numFmtId="164" fontId="14" fillId="0" borderId="2" xfId="1" applyNumberFormat="1" applyFont="1" applyFill="1" applyBorder="1" applyProtection="1"/>
    <xf numFmtId="10" fontId="16" fillId="0" borderId="2" xfId="0" applyNumberFormat="1" applyFont="1" applyBorder="1"/>
    <xf numFmtId="164" fontId="26" fillId="0" borderId="2" xfId="1" applyNumberFormat="1" applyFont="1" applyFill="1" applyBorder="1" applyProtection="1"/>
    <xf numFmtId="10" fontId="34" fillId="0" borderId="6" xfId="0" applyNumberFormat="1" applyFont="1" applyBorder="1"/>
    <xf numFmtId="164" fontId="26" fillId="0" borderId="6" xfId="1" applyNumberFormat="1" applyFont="1" applyFill="1" applyBorder="1" applyProtection="1"/>
    <xf numFmtId="167" fontId="50" fillId="0" borderId="6" xfId="0" applyNumberFormat="1" applyFont="1" applyBorder="1"/>
    <xf numFmtId="164" fontId="26" fillId="0" borderId="0" xfId="1" applyNumberFormat="1" applyFont="1" applyFill="1" applyBorder="1" applyProtection="1"/>
    <xf numFmtId="164" fontId="26" fillId="0" borderId="33" xfId="1" applyNumberFormat="1" applyFont="1" applyFill="1" applyBorder="1" applyProtection="1"/>
    <xf numFmtId="167" fontId="0" fillId="0" borderId="0" xfId="2" applyNumberFormat="1" applyFont="1" applyProtection="1"/>
    <xf numFmtId="0" fontId="5" fillId="0" borderId="42" xfId="0" applyFont="1" applyBorder="1" applyAlignment="1">
      <alignment horizontal="right"/>
    </xf>
    <xf numFmtId="0" fontId="2" fillId="0" borderId="2" xfId="0" applyFont="1" applyBorder="1" applyAlignment="1">
      <alignment horizontal="right"/>
    </xf>
    <xf numFmtId="0" fontId="2" fillId="0" borderId="42" xfId="0" applyFont="1" applyBorder="1" applyAlignment="1">
      <alignment horizontal="right"/>
    </xf>
    <xf numFmtId="0" fontId="2" fillId="0" borderId="6" xfId="0" applyFont="1" applyBorder="1" applyAlignment="1">
      <alignment horizontal="right"/>
    </xf>
    <xf numFmtId="164" fontId="5" fillId="0" borderId="42" xfId="1" applyNumberFormat="1" applyFont="1" applyFill="1" applyBorder="1" applyAlignment="1" applyProtection="1"/>
    <xf numFmtId="164" fontId="5" fillId="0" borderId="2" xfId="1" applyNumberFormat="1" applyFont="1" applyFill="1" applyBorder="1" applyAlignment="1" applyProtection="1">
      <alignment horizontal="right"/>
    </xf>
    <xf numFmtId="164" fontId="6" fillId="0" borderId="42" xfId="1" applyNumberFormat="1" applyFont="1" applyFill="1" applyBorder="1" applyAlignment="1" applyProtection="1"/>
    <xf numFmtId="164" fontId="13" fillId="0" borderId="6" xfId="1" applyNumberFormat="1" applyFont="1" applyFill="1" applyBorder="1" applyAlignment="1" applyProtection="1"/>
    <xf numFmtId="164" fontId="13" fillId="0" borderId="2" xfId="1" applyNumberFormat="1" applyFont="1" applyFill="1" applyBorder="1" applyAlignment="1" applyProtection="1">
      <alignment horizontal="right"/>
    </xf>
    <xf numFmtId="164" fontId="13" fillId="0" borderId="42" xfId="1" applyNumberFormat="1" applyFont="1" applyFill="1" applyBorder="1" applyAlignment="1" applyProtection="1"/>
    <xf numFmtId="167" fontId="13" fillId="0" borderId="42" xfId="2" applyNumberFormat="1" applyFont="1" applyFill="1" applyBorder="1" applyAlignment="1" applyProtection="1"/>
    <xf numFmtId="167" fontId="13" fillId="0" borderId="2" xfId="2" applyNumberFormat="1" applyFont="1" applyFill="1" applyBorder="1" applyAlignment="1" applyProtection="1">
      <alignment horizontal="right"/>
    </xf>
    <xf numFmtId="10" fontId="13" fillId="0" borderId="42" xfId="2" applyNumberFormat="1" applyFont="1" applyFill="1" applyBorder="1" applyAlignment="1" applyProtection="1"/>
    <xf numFmtId="167" fontId="13" fillId="0" borderId="6" xfId="2" applyNumberFormat="1" applyFont="1" applyFill="1" applyBorder="1" applyAlignment="1" applyProtection="1"/>
    <xf numFmtId="3" fontId="13" fillId="0" borderId="34" xfId="3" applyNumberFormat="1" applyFont="1" applyFill="1" applyBorder="1" applyAlignment="1" applyProtection="1"/>
    <xf numFmtId="3" fontId="13" fillId="0" borderId="8" xfId="3" applyNumberFormat="1" applyFont="1" applyFill="1" applyBorder="1" applyAlignment="1" applyProtection="1">
      <alignment horizontal="right"/>
    </xf>
    <xf numFmtId="3" fontId="13" fillId="0" borderId="9" xfId="3" applyNumberFormat="1" applyFont="1" applyFill="1" applyBorder="1" applyAlignment="1" applyProtection="1"/>
    <xf numFmtId="0" fontId="5" fillId="0" borderId="6" xfId="0" applyFont="1" applyBorder="1" applyAlignment="1">
      <alignment horizontal="right"/>
    </xf>
    <xf numFmtId="0" fontId="2" fillId="0" borderId="15" xfId="0" applyFont="1" applyBorder="1" applyAlignment="1">
      <alignment horizontal="left"/>
    </xf>
    <xf numFmtId="0" fontId="5" fillId="0" borderId="17" xfId="0" applyFont="1" applyBorder="1" applyAlignment="1">
      <alignment horizontal="left"/>
    </xf>
    <xf numFmtId="0" fontId="5" fillId="0" borderId="16" xfId="0" applyFont="1" applyBorder="1" applyAlignment="1">
      <alignment horizontal="left"/>
    </xf>
    <xf numFmtId="0" fontId="2" fillId="7" borderId="28" xfId="0" applyFont="1" applyFill="1" applyBorder="1" applyProtection="1">
      <protection locked="0"/>
    </xf>
    <xf numFmtId="0" fontId="2" fillId="7" borderId="29" xfId="0" applyFont="1" applyFill="1" applyBorder="1" applyProtection="1">
      <protection locked="0"/>
    </xf>
    <xf numFmtId="0" fontId="2" fillId="7" borderId="30" xfId="0" applyFont="1" applyFill="1" applyBorder="1" applyProtection="1">
      <protection locked="0"/>
    </xf>
    <xf numFmtId="0" fontId="2" fillId="7" borderId="20" xfId="1" applyNumberFormat="1" applyFont="1" applyFill="1" applyBorder="1" applyProtection="1">
      <protection locked="0"/>
    </xf>
    <xf numFmtId="0" fontId="2" fillId="7" borderId="0" xfId="0" applyFont="1" applyFill="1" applyProtection="1">
      <protection locked="0"/>
    </xf>
    <xf numFmtId="0" fontId="2" fillId="7" borderId="31" xfId="0" applyFont="1" applyFill="1" applyBorder="1" applyProtection="1">
      <protection locked="0"/>
    </xf>
    <xf numFmtId="0" fontId="2" fillId="7" borderId="20" xfId="0" applyFont="1" applyFill="1" applyBorder="1" applyProtection="1">
      <protection locked="0"/>
    </xf>
    <xf numFmtId="0" fontId="2" fillId="7" borderId="0" xfId="1" applyNumberFormat="1" applyFont="1" applyFill="1" applyProtection="1">
      <protection locked="0"/>
    </xf>
    <xf numFmtId="0" fontId="2" fillId="7" borderId="31" xfId="1" applyNumberFormat="1" applyFont="1" applyFill="1" applyBorder="1" applyProtection="1">
      <protection locked="0"/>
    </xf>
    <xf numFmtId="0" fontId="2" fillId="7" borderId="20" xfId="2" applyNumberFormat="1" applyFont="1" applyFill="1" applyBorder="1" applyProtection="1">
      <protection locked="0"/>
    </xf>
    <xf numFmtId="0" fontId="2" fillId="7" borderId="0" xfId="2" applyNumberFormat="1" applyFont="1" applyFill="1" applyProtection="1">
      <protection locked="0"/>
    </xf>
    <xf numFmtId="0" fontId="2" fillId="7" borderId="26" xfId="0" applyFont="1" applyFill="1" applyBorder="1" applyProtection="1">
      <protection locked="0"/>
    </xf>
    <xf numFmtId="0" fontId="2" fillId="7" borderId="27" xfId="0" applyFont="1" applyFill="1" applyBorder="1" applyProtection="1">
      <protection locked="0"/>
    </xf>
    <xf numFmtId="0" fontId="2" fillId="7" borderId="32" xfId="0" applyFont="1" applyFill="1" applyBorder="1" applyProtection="1">
      <protection locked="0"/>
    </xf>
    <xf numFmtId="0" fontId="2" fillId="7" borderId="21" xfId="0" applyFont="1" applyFill="1" applyBorder="1" applyProtection="1">
      <protection locked="0"/>
    </xf>
    <xf numFmtId="0" fontId="2" fillId="7" borderId="33" xfId="0" applyFont="1" applyFill="1" applyBorder="1" applyProtection="1">
      <protection locked="0"/>
    </xf>
    <xf numFmtId="0" fontId="2" fillId="7" borderId="0" xfId="0" applyFont="1" applyFill="1" applyAlignment="1" applyProtection="1">
      <alignment horizontal="right"/>
      <protection locked="0"/>
    </xf>
    <xf numFmtId="164" fontId="2" fillId="0" borderId="2" xfId="1" applyNumberFormat="1" applyFont="1" applyFill="1" applyBorder="1" applyProtection="1"/>
    <xf numFmtId="0" fontId="2" fillId="0" borderId="2" xfId="1" applyNumberFormat="1" applyFont="1" applyFill="1" applyBorder="1" applyProtection="1"/>
    <xf numFmtId="38" fontId="2" fillId="0" borderId="2" xfId="1" applyNumberFormat="1" applyFont="1" applyFill="1" applyBorder="1" applyProtection="1"/>
    <xf numFmtId="164" fontId="2" fillId="0" borderId="2" xfId="0" applyNumberFormat="1" applyFont="1" applyBorder="1"/>
    <xf numFmtId="164" fontId="2" fillId="7" borderId="59" xfId="1" applyNumberFormat="1" applyFont="1" applyFill="1" applyBorder="1" applyProtection="1">
      <protection locked="0"/>
    </xf>
    <xf numFmtId="0" fontId="8" fillId="0" borderId="2" xfId="0" applyFont="1" applyBorder="1"/>
    <xf numFmtId="0" fontId="2" fillId="7" borderId="0" xfId="1" applyNumberFormat="1" applyFont="1" applyFill="1" applyBorder="1" applyProtection="1">
      <protection locked="0"/>
    </xf>
    <xf numFmtId="10" fontId="41" fillId="0" borderId="2" xfId="0" applyNumberFormat="1" applyFont="1" applyBorder="1" applyProtection="1">
      <protection locked="0"/>
    </xf>
    <xf numFmtId="2" fontId="10" fillId="0" borderId="8" xfId="0" applyNumberFormat="1" applyFont="1" applyBorder="1" applyAlignment="1">
      <alignment horizontal="center"/>
    </xf>
    <xf numFmtId="0" fontId="29" fillId="0" borderId="14" xfId="0" applyFont="1" applyBorder="1" applyAlignment="1">
      <alignment horizontal="left"/>
    </xf>
    <xf numFmtId="0" fontId="26" fillId="0" borderId="22" xfId="1" applyNumberFormat="1" applyFont="1" applyBorder="1" applyAlignment="1" applyProtection="1">
      <alignment horizontal="right"/>
    </xf>
    <xf numFmtId="0" fontId="26" fillId="13" borderId="23" xfId="1" applyNumberFormat="1" applyFont="1" applyFill="1" applyBorder="1" applyAlignment="1" applyProtection="1">
      <alignment horizontal="right"/>
    </xf>
    <xf numFmtId="0" fontId="26" fillId="13" borderId="12" xfId="1" applyNumberFormat="1" applyFont="1" applyFill="1" applyBorder="1" applyAlignment="1" applyProtection="1">
      <alignment horizontal="right"/>
    </xf>
    <xf numFmtId="0" fontId="26" fillId="13" borderId="22" xfId="1" applyNumberFormat="1" applyFont="1" applyFill="1" applyBorder="1" applyAlignment="1" applyProtection="1">
      <alignment horizontal="right"/>
    </xf>
    <xf numFmtId="164" fontId="15" fillId="0" borderId="2" xfId="1" applyNumberFormat="1" applyFont="1" applyBorder="1" applyAlignment="1" applyProtection="1">
      <alignment horizontal="right"/>
    </xf>
    <xf numFmtId="0" fontId="15" fillId="0" borderId="6" xfId="0" applyFont="1" applyBorder="1" applyAlignment="1">
      <alignment horizontal="right"/>
    </xf>
    <xf numFmtId="164" fontId="15" fillId="13" borderId="6" xfId="1" applyNumberFormat="1" applyFont="1" applyFill="1" applyBorder="1" applyAlignment="1" applyProtection="1">
      <alignment horizontal="right"/>
    </xf>
    <xf numFmtId="164" fontId="15" fillId="13" borderId="5" xfId="1" applyNumberFormat="1" applyFont="1" applyFill="1" applyBorder="1" applyAlignment="1" applyProtection="1">
      <alignment horizontal="right"/>
    </xf>
    <xf numFmtId="164" fontId="15" fillId="13" borderId="2" xfId="1" applyNumberFormat="1" applyFont="1" applyFill="1" applyBorder="1" applyAlignment="1" applyProtection="1">
      <alignment horizontal="right"/>
    </xf>
    <xf numFmtId="164" fontId="15" fillId="0" borderId="2" xfId="1" applyNumberFormat="1" applyFont="1" applyFill="1" applyBorder="1" applyAlignment="1" applyProtection="1">
      <alignment horizontal="right"/>
    </xf>
    <xf numFmtId="164" fontId="15" fillId="0" borderId="6" xfId="1" applyNumberFormat="1" applyFont="1" applyBorder="1" applyAlignment="1" applyProtection="1">
      <alignment horizontal="right"/>
    </xf>
    <xf numFmtId="164" fontId="15" fillId="0" borderId="6" xfId="1" applyNumberFormat="1" applyFont="1" applyFill="1" applyBorder="1" applyAlignment="1" applyProtection="1">
      <alignment horizontal="right"/>
    </xf>
    <xf numFmtId="164" fontId="15" fillId="0" borderId="8" xfId="1" applyNumberFormat="1" applyFont="1" applyFill="1" applyBorder="1" applyAlignment="1" applyProtection="1">
      <alignment horizontal="right"/>
    </xf>
    <xf numFmtId="164" fontId="15" fillId="0" borderId="9" xfId="1" applyNumberFormat="1" applyFont="1" applyBorder="1" applyAlignment="1" applyProtection="1">
      <alignment horizontal="right"/>
    </xf>
    <xf numFmtId="164" fontId="15" fillId="0" borderId="9" xfId="1" applyNumberFormat="1" applyFont="1" applyFill="1" applyBorder="1" applyAlignment="1" applyProtection="1">
      <alignment horizontal="right"/>
    </xf>
    <xf numFmtId="164" fontId="15" fillId="13" borderId="7" xfId="1" applyNumberFormat="1" applyFont="1" applyFill="1" applyBorder="1" applyAlignment="1" applyProtection="1">
      <alignment horizontal="right"/>
    </xf>
    <xf numFmtId="164" fontId="15" fillId="13" borderId="8" xfId="1" applyNumberFormat="1" applyFont="1" applyFill="1" applyBorder="1" applyAlignment="1" applyProtection="1">
      <alignment horizontal="right"/>
    </xf>
    <xf numFmtId="164" fontId="15" fillId="13" borderId="9" xfId="1" applyNumberFormat="1" applyFont="1" applyFill="1" applyBorder="1" applyAlignment="1" applyProtection="1">
      <alignment horizontal="right"/>
    </xf>
    <xf numFmtId="164" fontId="26" fillId="0" borderId="12" xfId="1" applyNumberFormat="1" applyFont="1" applyFill="1" applyBorder="1" applyAlignment="1" applyProtection="1">
      <alignment horizontal="right"/>
    </xf>
    <xf numFmtId="164" fontId="15" fillId="0" borderId="22" xfId="1" applyNumberFormat="1" applyFont="1" applyBorder="1" applyAlignment="1" applyProtection="1">
      <alignment horizontal="right"/>
    </xf>
    <xf numFmtId="164" fontId="26" fillId="0" borderId="60" xfId="1" applyNumberFormat="1" applyFont="1" applyFill="1" applyBorder="1" applyAlignment="1" applyProtection="1">
      <alignment horizontal="right"/>
    </xf>
    <xf numFmtId="164" fontId="26" fillId="13" borderId="23" xfId="1" applyNumberFormat="1" applyFont="1" applyFill="1" applyBorder="1" applyAlignment="1" applyProtection="1">
      <alignment horizontal="right"/>
    </xf>
    <xf numFmtId="164" fontId="26" fillId="13" borderId="12" xfId="1" applyNumberFormat="1" applyFont="1" applyFill="1" applyBorder="1" applyAlignment="1" applyProtection="1">
      <alignment horizontal="right"/>
    </xf>
    <xf numFmtId="164" fontId="26" fillId="13" borderId="22" xfId="1" applyNumberFormat="1" applyFont="1" applyFill="1" applyBorder="1" applyAlignment="1" applyProtection="1">
      <alignment horizontal="right"/>
    </xf>
    <xf numFmtId="164" fontId="26" fillId="0" borderId="22" xfId="1" applyNumberFormat="1" applyFont="1" applyBorder="1" applyAlignment="1" applyProtection="1">
      <alignment horizontal="right"/>
    </xf>
    <xf numFmtId="9" fontId="15" fillId="0" borderId="61" xfId="2" applyFont="1" applyFill="1" applyBorder="1" applyAlignment="1" applyProtection="1">
      <alignment horizontal="right"/>
    </xf>
    <xf numFmtId="9" fontId="15" fillId="13" borderId="5" xfId="2" applyFont="1" applyFill="1" applyBorder="1" applyAlignment="1" applyProtection="1">
      <alignment horizontal="right"/>
    </xf>
    <xf numFmtId="9" fontId="15" fillId="13" borderId="2" xfId="2" applyFont="1" applyFill="1" applyBorder="1" applyAlignment="1" applyProtection="1">
      <alignment horizontal="right"/>
    </xf>
    <xf numFmtId="9" fontId="15" fillId="13" borderId="6" xfId="2" applyFont="1" applyFill="1" applyBorder="1" applyAlignment="1" applyProtection="1">
      <alignment horizontal="right"/>
    </xf>
    <xf numFmtId="164" fontId="15" fillId="0" borderId="61" xfId="1" applyNumberFormat="1" applyFont="1" applyFill="1" applyBorder="1" applyAlignment="1" applyProtection="1">
      <alignment horizontal="right"/>
    </xf>
    <xf numFmtId="164" fontId="15" fillId="0" borderId="62" xfId="1" applyNumberFormat="1" applyFont="1" applyFill="1" applyBorder="1" applyAlignment="1" applyProtection="1">
      <alignment horizontal="right"/>
    </xf>
    <xf numFmtId="164" fontId="26" fillId="0" borderId="58" xfId="1" applyNumberFormat="1" applyFont="1" applyFill="1" applyBorder="1" applyAlignment="1" applyProtection="1">
      <alignment horizontal="right"/>
    </xf>
    <xf numFmtId="43" fontId="15" fillId="0" borderId="2" xfId="1" applyFont="1" applyFill="1" applyBorder="1" applyAlignment="1" applyProtection="1">
      <alignment horizontal="right"/>
    </xf>
    <xf numFmtId="43" fontId="15" fillId="0" borderId="61" xfId="1" applyFont="1" applyFill="1" applyBorder="1" applyAlignment="1" applyProtection="1">
      <alignment horizontal="right"/>
    </xf>
    <xf numFmtId="43" fontId="15" fillId="13" borderId="5" xfId="1" applyFont="1" applyFill="1" applyBorder="1" applyAlignment="1" applyProtection="1">
      <alignment horizontal="right"/>
    </xf>
    <xf numFmtId="43" fontId="15" fillId="13" borderId="2" xfId="1" applyFont="1" applyFill="1" applyBorder="1" applyAlignment="1" applyProtection="1">
      <alignment horizontal="right"/>
    </xf>
    <xf numFmtId="43" fontId="15" fillId="13" borderId="6" xfId="1" applyFont="1" applyFill="1" applyBorder="1" applyAlignment="1" applyProtection="1">
      <alignment horizontal="right"/>
    </xf>
    <xf numFmtId="164" fontId="34" fillId="0" borderId="8" xfId="1" applyNumberFormat="1" applyFont="1" applyFill="1" applyBorder="1" applyAlignment="1" applyProtection="1">
      <alignment horizontal="right"/>
    </xf>
    <xf numFmtId="165" fontId="34" fillId="13" borderId="62" xfId="2" applyNumberFormat="1" applyFont="1" applyFill="1" applyBorder="1" applyAlignment="1" applyProtection="1">
      <alignment horizontal="right"/>
    </xf>
    <xf numFmtId="165" fontId="34" fillId="13" borderId="7" xfId="2" applyNumberFormat="1" applyFont="1" applyFill="1" applyBorder="1" applyAlignment="1" applyProtection="1">
      <alignment horizontal="right"/>
    </xf>
    <xf numFmtId="165" fontId="34" fillId="13" borderId="8" xfId="2" applyNumberFormat="1" applyFont="1" applyFill="1" applyBorder="1" applyAlignment="1" applyProtection="1">
      <alignment horizontal="right"/>
    </xf>
    <xf numFmtId="165" fontId="34" fillId="13" borderId="9" xfId="2" applyNumberFormat="1" applyFont="1" applyFill="1" applyBorder="1" applyAlignment="1" applyProtection="1">
      <alignment horizontal="right"/>
    </xf>
    <xf numFmtId="164" fontId="5" fillId="13" borderId="5" xfId="1" applyNumberFormat="1" applyFont="1" applyFill="1" applyBorder="1" applyAlignment="1" applyProtection="1">
      <alignment horizontal="right"/>
    </xf>
    <xf numFmtId="164" fontId="5" fillId="13" borderId="2" xfId="1" applyNumberFormat="1" applyFont="1" applyFill="1" applyBorder="1" applyAlignment="1" applyProtection="1">
      <alignment horizontal="right"/>
    </xf>
    <xf numFmtId="164" fontId="5" fillId="13" borderId="6" xfId="1" applyNumberFormat="1" applyFont="1" applyFill="1" applyBorder="1" applyAlignment="1" applyProtection="1">
      <alignment horizontal="right"/>
    </xf>
    <xf numFmtId="164" fontId="5" fillId="13" borderId="7" xfId="1" applyNumberFormat="1" applyFont="1" applyFill="1" applyBorder="1" applyAlignment="1" applyProtection="1">
      <alignment horizontal="right"/>
    </xf>
    <xf numFmtId="164" fontId="5" fillId="13" borderId="16" xfId="1" applyNumberFormat="1" applyFont="1" applyFill="1" applyBorder="1" applyAlignment="1" applyProtection="1">
      <alignment horizontal="right"/>
    </xf>
    <xf numFmtId="164" fontId="5" fillId="13" borderId="9" xfId="1" applyNumberFormat="1" applyFont="1" applyFill="1" applyBorder="1" applyAlignment="1" applyProtection="1">
      <alignment horizontal="right"/>
    </xf>
    <xf numFmtId="164" fontId="5" fillId="13" borderId="11" xfId="1" applyNumberFormat="1" applyFont="1" applyFill="1" applyBorder="1" applyAlignment="1" applyProtection="1">
      <alignment horizontal="right"/>
    </xf>
    <xf numFmtId="164" fontId="5" fillId="13" borderId="8" xfId="1" applyNumberFormat="1" applyFont="1" applyFill="1" applyBorder="1" applyAlignment="1" applyProtection="1">
      <alignment horizontal="right"/>
    </xf>
    <xf numFmtId="0" fontId="13" fillId="2" borderId="26" xfId="0" applyFont="1" applyFill="1" applyBorder="1" applyAlignment="1">
      <alignment horizontal="right"/>
    </xf>
    <xf numFmtId="0" fontId="13" fillId="2" borderId="27" xfId="0" applyFont="1" applyFill="1" applyBorder="1" applyAlignment="1">
      <alignment horizontal="right"/>
    </xf>
    <xf numFmtId="0" fontId="26" fillId="0" borderId="13" xfId="1" applyNumberFormat="1" applyFont="1" applyBorder="1" applyAlignment="1" applyProtection="1">
      <alignment horizontal="right"/>
    </xf>
    <xf numFmtId="165" fontId="20" fillId="0" borderId="2" xfId="2" applyNumberFormat="1" applyFont="1" applyBorder="1" applyAlignment="1" applyProtection="1">
      <alignment horizontal="right"/>
    </xf>
    <xf numFmtId="165" fontId="20" fillId="0" borderId="6" xfId="2" applyNumberFormat="1" applyFont="1" applyBorder="1" applyAlignment="1" applyProtection="1">
      <alignment horizontal="right"/>
    </xf>
    <xf numFmtId="165" fontId="20" fillId="0" borderId="61" xfId="2" applyNumberFormat="1" applyFont="1" applyBorder="1" applyAlignment="1" applyProtection="1">
      <alignment horizontal="right"/>
    </xf>
    <xf numFmtId="165" fontId="20" fillId="0" borderId="11" xfId="2" applyNumberFormat="1" applyFont="1" applyBorder="1" applyAlignment="1" applyProtection="1">
      <alignment horizontal="right"/>
    </xf>
    <xf numFmtId="0" fontId="26" fillId="13" borderId="5" xfId="1" applyNumberFormat="1" applyFont="1" applyFill="1" applyBorder="1" applyAlignment="1" applyProtection="1">
      <alignment horizontal="right"/>
    </xf>
    <xf numFmtId="0" fontId="26" fillId="13" borderId="2" xfId="1" applyNumberFormat="1" applyFont="1" applyFill="1" applyBorder="1" applyAlignment="1" applyProtection="1">
      <alignment horizontal="right"/>
    </xf>
    <xf numFmtId="0" fontId="26" fillId="13" borderId="6" xfId="1" applyNumberFormat="1" applyFont="1" applyFill="1" applyBorder="1" applyAlignment="1" applyProtection="1">
      <alignment horizontal="right"/>
    </xf>
    <xf numFmtId="1" fontId="26" fillId="13" borderId="7" xfId="1" applyNumberFormat="1" applyFont="1" applyFill="1" applyBorder="1" applyAlignment="1" applyProtection="1">
      <alignment horizontal="right"/>
    </xf>
    <xf numFmtId="1" fontId="26" fillId="13" borderId="8" xfId="1" applyNumberFormat="1" applyFont="1" applyFill="1" applyBorder="1" applyAlignment="1" applyProtection="1">
      <alignment horizontal="right"/>
    </xf>
    <xf numFmtId="1" fontId="26" fillId="13" borderId="9" xfId="1" applyNumberFormat="1" applyFont="1" applyFill="1" applyBorder="1" applyAlignment="1" applyProtection="1">
      <alignment horizontal="right"/>
    </xf>
    <xf numFmtId="164" fontId="16" fillId="13" borderId="6" xfId="1" applyNumberFormat="1" applyFont="1" applyFill="1" applyBorder="1" applyProtection="1">
      <protection locked="0"/>
    </xf>
    <xf numFmtId="10" fontId="16" fillId="13" borderId="2" xfId="0" applyNumberFormat="1" applyFont="1" applyFill="1" applyBorder="1" applyProtection="1">
      <protection locked="0"/>
    </xf>
    <xf numFmtId="164" fontId="16" fillId="13" borderId="2" xfId="0" applyNumberFormat="1" applyFont="1" applyFill="1" applyBorder="1"/>
    <xf numFmtId="164" fontId="16" fillId="13" borderId="2" xfId="1" applyNumberFormat="1" applyFont="1" applyFill="1" applyBorder="1" applyProtection="1">
      <protection locked="0"/>
    </xf>
    <xf numFmtId="2" fontId="16" fillId="13" borderId="6" xfId="0" applyNumberFormat="1" applyFont="1" applyFill="1" applyBorder="1" applyProtection="1">
      <protection locked="0"/>
    </xf>
    <xf numFmtId="3" fontId="57" fillId="0" borderId="2" xfId="8" applyNumberFormat="1" applyFont="1" applyBorder="1" applyAlignment="1">
      <alignment horizontal="right"/>
    </xf>
    <xf numFmtId="168" fontId="10" fillId="0" borderId="6" xfId="3" applyNumberFormat="1" applyFont="1" applyBorder="1"/>
    <xf numFmtId="168" fontId="26" fillId="0" borderId="6" xfId="3" applyNumberFormat="1" applyFont="1" applyBorder="1"/>
    <xf numFmtId="164" fontId="10" fillId="0" borderId="6" xfId="1" applyNumberFormat="1" applyFont="1" applyBorder="1"/>
    <xf numFmtId="10" fontId="10" fillId="0" borderId="6" xfId="2" applyNumberFormat="1" applyFont="1" applyBorder="1"/>
    <xf numFmtId="10" fontId="26" fillId="0" borderId="6" xfId="2" applyNumberFormat="1" applyFont="1" applyBorder="1"/>
    <xf numFmtId="10" fontId="10" fillId="0" borderId="9" xfId="0" applyNumberFormat="1" applyFont="1" applyBorder="1"/>
    <xf numFmtId="0" fontId="40" fillId="8" borderId="12" xfId="0" applyFont="1" applyFill="1" applyBorder="1" applyAlignment="1">
      <alignment horizontal="center"/>
    </xf>
    <xf numFmtId="0" fontId="40" fillId="8" borderId="22" xfId="0" applyFont="1" applyFill="1" applyBorder="1" applyAlignment="1">
      <alignment horizontal="center"/>
    </xf>
    <xf numFmtId="164" fontId="40" fillId="0" borderId="6" xfId="0" applyNumberFormat="1" applyFont="1" applyBorder="1"/>
    <xf numFmtId="0" fontId="39" fillId="0" borderId="5" xfId="0" applyFont="1" applyBorder="1" applyAlignment="1">
      <alignment horizontal="left"/>
    </xf>
    <xf numFmtId="164" fontId="40" fillId="0" borderId="8" xfId="0" applyNumberFormat="1" applyFont="1" applyBorder="1"/>
    <xf numFmtId="164" fontId="40" fillId="0" borderId="9" xfId="0" applyNumberFormat="1" applyFont="1" applyBorder="1"/>
    <xf numFmtId="0" fontId="40" fillId="8" borderId="6" xfId="0" applyFont="1" applyFill="1" applyBorder="1" applyAlignment="1">
      <alignment horizontal="center"/>
    </xf>
    <xf numFmtId="164" fontId="39" fillId="10" borderId="6" xfId="0" applyNumberFormat="1" applyFont="1" applyFill="1" applyBorder="1"/>
    <xf numFmtId="164" fontId="39" fillId="10" borderId="9" xfId="0" applyNumberFormat="1" applyFont="1" applyFill="1" applyBorder="1"/>
    <xf numFmtId="0" fontId="8" fillId="0" borderId="7" xfId="0" applyFont="1" applyBorder="1"/>
    <xf numFmtId="9" fontId="0" fillId="0" borderId="8" xfId="0" applyNumberFormat="1" applyBorder="1"/>
    <xf numFmtId="164" fontId="8" fillId="0" borderId="8" xfId="0" applyNumberFormat="1" applyFont="1" applyBorder="1"/>
    <xf numFmtId="9" fontId="8" fillId="0" borderId="8" xfId="2" applyFont="1" applyBorder="1"/>
    <xf numFmtId="0" fontId="8" fillId="0" borderId="8" xfId="0" applyFont="1" applyBorder="1"/>
    <xf numFmtId="0" fontId="8" fillId="7" borderId="8" xfId="0" applyFont="1" applyFill="1" applyBorder="1" applyProtection="1">
      <protection locked="0"/>
    </xf>
    <xf numFmtId="9" fontId="8" fillId="0" borderId="9" xfId="2" applyFont="1" applyBorder="1"/>
    <xf numFmtId="0" fontId="2" fillId="0" borderId="42" xfId="1" applyNumberFormat="1" applyFont="1" applyFill="1" applyBorder="1" applyProtection="1"/>
    <xf numFmtId="0" fontId="2" fillId="0" borderId="11" xfId="1" applyNumberFormat="1" applyFont="1" applyFill="1" applyBorder="1" applyProtection="1"/>
    <xf numFmtId="0" fontId="2" fillId="0" borderId="42" xfId="0" applyFont="1" applyBorder="1"/>
    <xf numFmtId="0" fontId="2" fillId="0" borderId="11" xfId="0" applyFont="1" applyBorder="1"/>
    <xf numFmtId="0" fontId="2" fillId="0" borderId="0" xfId="1" applyNumberFormat="1" applyFont="1" applyFill="1" applyProtection="1"/>
    <xf numFmtId="9" fontId="12" fillId="0" borderId="2" xfId="2" applyFont="1" applyFill="1" applyBorder="1" applyAlignment="1" applyProtection="1">
      <alignment horizontal="right"/>
    </xf>
    <xf numFmtId="0" fontId="2" fillId="0" borderId="5" xfId="0" applyFont="1" applyBorder="1" applyAlignment="1">
      <alignment horizontal="left"/>
    </xf>
    <xf numFmtId="0" fontId="26" fillId="6" borderId="2" xfId="0" applyFont="1" applyFill="1" applyBorder="1" applyAlignment="1">
      <alignment horizontal="right"/>
    </xf>
    <xf numFmtId="9" fontId="2" fillId="7" borderId="2" xfId="2" applyFont="1" applyFill="1" applyBorder="1" applyProtection="1">
      <protection locked="0"/>
    </xf>
    <xf numFmtId="0" fontId="26" fillId="6" borderId="6" xfId="0" applyFont="1" applyFill="1" applyBorder="1" applyAlignment="1">
      <alignment horizontal="right"/>
    </xf>
    <xf numFmtId="0" fontId="26" fillId="0" borderId="8" xfId="0" applyFont="1" applyBorder="1"/>
    <xf numFmtId="9" fontId="26" fillId="0" borderId="9" xfId="9" applyFont="1" applyBorder="1" applyProtection="1"/>
    <xf numFmtId="0" fontId="26" fillId="6" borderId="5" xfId="0" applyFont="1" applyFill="1" applyBorder="1"/>
    <xf numFmtId="0" fontId="26" fillId="0" borderId="7" xfId="0" applyFont="1" applyBorder="1"/>
    <xf numFmtId="9" fontId="2" fillId="0" borderId="6" xfId="9" applyFont="1" applyBorder="1" applyProtection="1"/>
    <xf numFmtId="0" fontId="2" fillId="0" borderId="52" xfId="0" applyFont="1" applyBorder="1"/>
    <xf numFmtId="9" fontId="2" fillId="0" borderId="47" xfId="9" applyFont="1" applyBorder="1" applyProtection="1"/>
    <xf numFmtId="0" fontId="26" fillId="0" borderId="49" xfId="0" applyFont="1" applyBorder="1"/>
    <xf numFmtId="9" fontId="26" fillId="0" borderId="50" xfId="2" applyFont="1" applyBorder="1" applyProtection="1"/>
    <xf numFmtId="9" fontId="26" fillId="0" borderId="50" xfId="2" applyFont="1" applyBorder="1"/>
    <xf numFmtId="0" fontId="26" fillId="6" borderId="11" xfId="0" applyFont="1" applyFill="1" applyBorder="1" applyAlignment="1">
      <alignment horizontal="right"/>
    </xf>
    <xf numFmtId="0" fontId="16" fillId="0" borderId="2" xfId="0" applyFont="1" applyBorder="1" applyAlignment="1">
      <alignment horizontal="left"/>
    </xf>
    <xf numFmtId="0" fontId="5" fillId="0" borderId="10" xfId="0" applyFont="1" applyBorder="1" applyAlignment="1">
      <alignment horizontal="left" indent="2"/>
    </xf>
    <xf numFmtId="0" fontId="5" fillId="0" borderId="11" xfId="0" applyFont="1" applyBorder="1" applyAlignment="1">
      <alignment horizontal="left" indent="2"/>
    </xf>
    <xf numFmtId="0" fontId="68" fillId="0" borderId="0" xfId="11"/>
    <xf numFmtId="1" fontId="5" fillId="7" borderId="10" xfId="0" applyNumberFormat="1" applyFont="1" applyFill="1" applyBorder="1" applyAlignment="1" applyProtection="1">
      <alignment horizontal="left"/>
      <protection locked="0"/>
    </xf>
    <xf numFmtId="1" fontId="16" fillId="7" borderId="2" xfId="0" applyNumberFormat="1" applyFont="1" applyFill="1" applyBorder="1" applyAlignment="1" applyProtection="1">
      <alignment horizontal="left"/>
      <protection locked="0"/>
    </xf>
    <xf numFmtId="164" fontId="16" fillId="0" borderId="2" xfId="1" applyNumberFormat="1" applyFont="1" applyFill="1" applyBorder="1" applyProtection="1"/>
    <xf numFmtId="10" fontId="0" fillId="13" borderId="2" xfId="2" applyNumberFormat="1" applyFont="1" applyFill="1" applyBorder="1" applyProtection="1"/>
    <xf numFmtId="2" fontId="16" fillId="7" borderId="2" xfId="0" applyNumberFormat="1" applyFont="1" applyFill="1" applyBorder="1" applyAlignment="1" applyProtection="1">
      <alignment horizontal="right"/>
      <protection locked="0"/>
    </xf>
    <xf numFmtId="2" fontId="6" fillId="7" borderId="2" xfId="0" applyNumberFormat="1" applyFont="1" applyFill="1" applyBorder="1" applyAlignment="1" applyProtection="1">
      <alignment horizontal="right"/>
      <protection locked="0"/>
    </xf>
    <xf numFmtId="2" fontId="11" fillId="7" borderId="2" xfId="0" applyNumberFormat="1" applyFont="1" applyFill="1" applyBorder="1" applyAlignment="1" applyProtection="1">
      <alignment horizontal="right"/>
      <protection locked="0"/>
    </xf>
    <xf numFmtId="0" fontId="1" fillId="0" borderId="5" xfId="0" applyFont="1" applyBorder="1" applyAlignment="1">
      <alignment horizontal="left"/>
    </xf>
    <xf numFmtId="164" fontId="0" fillId="0" borderId="2" xfId="0" applyNumberFormat="1" applyBorder="1"/>
    <xf numFmtId="164" fontId="0" fillId="0" borderId="6" xfId="0" applyNumberFormat="1" applyBorder="1"/>
    <xf numFmtId="164" fontId="26" fillId="13" borderId="6" xfId="1" applyNumberFormat="1" applyFont="1" applyFill="1" applyBorder="1" applyProtection="1"/>
    <xf numFmtId="10" fontId="13" fillId="13" borderId="42" xfId="2" applyNumberFormat="1" applyFont="1" applyFill="1" applyBorder="1" applyAlignment="1" applyProtection="1"/>
    <xf numFmtId="0" fontId="1" fillId="7" borderId="42" xfId="0" applyFont="1" applyFill="1" applyBorder="1" applyAlignment="1" applyProtection="1">
      <alignment horizontal="right"/>
      <protection locked="0"/>
    </xf>
    <xf numFmtId="0" fontId="26" fillId="0" borderId="48" xfId="0" applyFont="1" applyBorder="1"/>
    <xf numFmtId="0" fontId="1" fillId="7" borderId="5" xfId="0" applyFont="1" applyFill="1" applyBorder="1" applyProtection="1">
      <protection locked="0"/>
    </xf>
    <xf numFmtId="167" fontId="13" fillId="0" borderId="42" xfId="2" applyNumberFormat="1" applyFont="1" applyFill="1" applyBorder="1" applyAlignment="1" applyProtection="1">
      <alignment horizontal="right" shrinkToFit="1"/>
    </xf>
    <xf numFmtId="167" fontId="1" fillId="0" borderId="42" xfId="2" applyNumberFormat="1" applyFont="1" applyFill="1" applyBorder="1" applyAlignment="1" applyProtection="1">
      <alignment horizontal="right"/>
    </xf>
    <xf numFmtId="167" fontId="1" fillId="0" borderId="2" xfId="2" applyNumberFormat="1" applyFont="1" applyFill="1" applyBorder="1" applyAlignment="1" applyProtection="1">
      <alignment horizontal="right"/>
    </xf>
    <xf numFmtId="164" fontId="27" fillId="0" borderId="9" xfId="0" applyNumberFormat="1" applyFont="1" applyBorder="1"/>
    <xf numFmtId="0" fontId="1" fillId="0" borderId="14" xfId="0" applyFont="1" applyBorder="1" applyAlignment="1">
      <alignment horizontal="left" indent="2"/>
    </xf>
    <xf numFmtId="10" fontId="26" fillId="0" borderId="55" xfId="2" applyNumberFormat="1" applyFont="1" applyBorder="1"/>
    <xf numFmtId="164" fontId="1" fillId="0" borderId="2" xfId="1" applyNumberFormat="1" applyFont="1" applyFill="1" applyBorder="1" applyProtection="1"/>
    <xf numFmtId="164" fontId="1" fillId="0" borderId="52" xfId="1" applyNumberFormat="1" applyFont="1" applyFill="1" applyBorder="1" applyProtection="1"/>
    <xf numFmtId="164" fontId="1" fillId="0" borderId="8" xfId="1" applyNumberFormat="1" applyFont="1" applyFill="1" applyBorder="1" applyProtection="1"/>
    <xf numFmtId="9" fontId="1" fillId="7" borderId="2" xfId="2" applyFont="1" applyFill="1" applyBorder="1" applyProtection="1">
      <protection locked="0"/>
    </xf>
    <xf numFmtId="0" fontId="1" fillId="7" borderId="20" xfId="0" applyFont="1" applyFill="1" applyBorder="1" applyProtection="1">
      <protection locked="0"/>
    </xf>
    <xf numFmtId="0" fontId="59" fillId="7" borderId="20" xfId="0" applyFont="1" applyFill="1" applyBorder="1" applyProtection="1">
      <protection locked="0"/>
    </xf>
    <xf numFmtId="164" fontId="1" fillId="7" borderId="2" xfId="1" applyNumberFormat="1" applyFont="1" applyFill="1" applyBorder="1" applyProtection="1">
      <protection locked="0"/>
    </xf>
    <xf numFmtId="10" fontId="1" fillId="0" borderId="52" xfId="2" applyNumberFormat="1" applyFont="1" applyBorder="1" applyProtection="1"/>
    <xf numFmtId="10" fontId="2" fillId="7" borderId="0" xfId="0" applyNumberFormat="1" applyFont="1" applyFill="1" applyProtection="1">
      <protection locked="0"/>
    </xf>
    <xf numFmtId="14" fontId="2" fillId="7" borderId="0" xfId="0" applyNumberFormat="1" applyFont="1" applyFill="1" applyProtection="1">
      <protection locked="0"/>
    </xf>
    <xf numFmtId="164" fontId="34" fillId="7" borderId="2" xfId="1" applyNumberFormat="1" applyFont="1" applyFill="1" applyBorder="1" applyProtection="1">
      <protection locked="0"/>
    </xf>
    <xf numFmtId="9" fontId="39" fillId="0" borderId="11" xfId="0" applyNumberFormat="1" applyFont="1" applyBorder="1" applyAlignment="1">
      <alignment horizontal="center"/>
    </xf>
    <xf numFmtId="0" fontId="26" fillId="11" borderId="1" xfId="0" applyFont="1" applyFill="1" applyBorder="1" applyAlignment="1">
      <alignment horizontal="center"/>
    </xf>
    <xf numFmtId="0" fontId="34" fillId="7" borderId="42" xfId="4" applyFont="1" applyFill="1" applyBorder="1" applyAlignment="1" applyProtection="1">
      <alignment horizontal="left"/>
      <protection locked="0"/>
    </xf>
    <xf numFmtId="0" fontId="34" fillId="7" borderId="10" xfId="4" applyFont="1" applyFill="1" applyBorder="1" applyAlignment="1" applyProtection="1">
      <alignment horizontal="left"/>
      <protection locked="0"/>
    </xf>
    <xf numFmtId="0" fontId="34" fillId="7" borderId="11" xfId="4" applyFont="1" applyFill="1" applyBorder="1" applyAlignment="1" applyProtection="1">
      <alignment horizontal="left"/>
      <protection locked="0"/>
    </xf>
    <xf numFmtId="0" fontId="1" fillId="0" borderId="14" xfId="0" applyFont="1" applyBorder="1" applyAlignment="1">
      <alignment horizontal="left"/>
    </xf>
    <xf numFmtId="164" fontId="2" fillId="7" borderId="0" xfId="1" applyNumberFormat="1" applyFont="1" applyFill="1" applyProtection="1">
      <protection locked="0"/>
    </xf>
    <xf numFmtId="164" fontId="2" fillId="7" borderId="31" xfId="1" applyNumberFormat="1" applyFont="1" applyFill="1" applyBorder="1" applyProtection="1">
      <protection locked="0"/>
    </xf>
    <xf numFmtId="0" fontId="26" fillId="0" borderId="3" xfId="0" applyFont="1" applyBorder="1" applyAlignment="1">
      <alignment horizontal="left"/>
    </xf>
    <xf numFmtId="0" fontId="0" fillId="0" borderId="5" xfId="0" applyBorder="1"/>
    <xf numFmtId="0" fontId="26" fillId="0" borderId="8" xfId="0" applyFont="1" applyBorder="1" applyAlignment="1">
      <alignment horizontal="left"/>
    </xf>
    <xf numFmtId="0" fontId="26" fillId="0" borderId="23" xfId="0" applyFont="1" applyBorder="1" applyAlignment="1">
      <alignment horizontal="left" indent="1"/>
    </xf>
    <xf numFmtId="0" fontId="2" fillId="0" borderId="14" xfId="0" applyFont="1" applyBorder="1"/>
    <xf numFmtId="0" fontId="2" fillId="0" borderId="10" xfId="0" applyFont="1" applyBorder="1"/>
    <xf numFmtId="0" fontId="0" fillId="0" borderId="7" xfId="0" applyBorder="1"/>
    <xf numFmtId="164" fontId="6" fillId="7" borderId="42" xfId="1" applyNumberFormat="1" applyFont="1" applyFill="1" applyBorder="1" applyAlignment="1" applyProtection="1">
      <protection locked="0"/>
    </xf>
    <xf numFmtId="164" fontId="21" fillId="7" borderId="42" xfId="1" applyNumberFormat="1" applyFont="1" applyFill="1" applyBorder="1" applyProtection="1">
      <protection locked="0"/>
    </xf>
    <xf numFmtId="164" fontId="19" fillId="7" borderId="34" xfId="1" applyNumberFormat="1" applyFont="1" applyFill="1" applyBorder="1" applyProtection="1">
      <protection locked="0"/>
    </xf>
    <xf numFmtId="164" fontId="21" fillId="7" borderId="34" xfId="1" applyNumberFormat="1" applyFont="1" applyFill="1" applyBorder="1" applyProtection="1">
      <protection locked="0"/>
    </xf>
    <xf numFmtId="164" fontId="1" fillId="0" borderId="42" xfId="1" applyNumberFormat="1" applyFont="1" applyFill="1" applyBorder="1" applyProtection="1"/>
    <xf numFmtId="164" fontId="1" fillId="0" borderId="36" xfId="1" applyNumberFormat="1" applyFont="1" applyFill="1" applyBorder="1" applyProtection="1"/>
    <xf numFmtId="164" fontId="1" fillId="0" borderId="34" xfId="1" applyNumberFormat="1" applyFont="1" applyFill="1" applyBorder="1" applyProtection="1"/>
    <xf numFmtId="10" fontId="1" fillId="0" borderId="36" xfId="2" applyNumberFormat="1" applyFont="1" applyBorder="1" applyProtection="1"/>
    <xf numFmtId="0" fontId="2" fillId="0" borderId="10" xfId="0" applyFont="1" applyBorder="1" applyAlignment="1">
      <alignment horizontal="left"/>
    </xf>
    <xf numFmtId="0" fontId="2" fillId="0" borderId="11" xfId="0" applyFont="1" applyBorder="1" applyAlignment="1">
      <alignment horizontal="left"/>
    </xf>
    <xf numFmtId="0" fontId="26" fillId="11" borderId="11" xfId="0" applyFont="1" applyFill="1" applyBorder="1" applyAlignment="1">
      <alignment horizontal="center"/>
    </xf>
    <xf numFmtId="0" fontId="33" fillId="11" borderId="21" xfId="0" applyFont="1" applyFill="1" applyBorder="1" applyAlignment="1">
      <alignment horizontal="center"/>
    </xf>
    <xf numFmtId="0" fontId="26" fillId="0" borderId="38" xfId="0" applyFont="1" applyBorder="1"/>
    <xf numFmtId="9" fontId="26" fillId="0" borderId="52" xfId="9" applyFont="1" applyBorder="1" applyProtection="1"/>
    <xf numFmtId="0" fontId="26" fillId="0" borderId="52" xfId="0" applyFont="1" applyBorder="1"/>
    <xf numFmtId="9" fontId="26" fillId="0" borderId="47" xfId="9" applyFont="1" applyBorder="1" applyProtection="1"/>
    <xf numFmtId="9" fontId="26" fillId="0" borderId="49" xfId="2" applyFont="1" applyBorder="1"/>
    <xf numFmtId="164" fontId="34" fillId="7" borderId="12" xfId="1" applyNumberFormat="1" applyFont="1" applyFill="1" applyBorder="1" applyProtection="1">
      <protection locked="0"/>
    </xf>
    <xf numFmtId="0" fontId="34" fillId="7" borderId="20" xfId="0" applyFont="1" applyFill="1" applyBorder="1" applyProtection="1">
      <protection locked="0"/>
    </xf>
    <xf numFmtId="0" fontId="34" fillId="7" borderId="0" xfId="0" applyFont="1" applyFill="1" applyProtection="1">
      <protection locked="0"/>
    </xf>
    <xf numFmtId="169" fontId="34" fillId="7" borderId="20" xfId="0" applyNumberFormat="1" applyFont="1" applyFill="1" applyBorder="1" applyProtection="1">
      <protection locked="0"/>
    </xf>
    <xf numFmtId="164" fontId="1" fillId="0" borderId="6" xfId="0" applyNumberFormat="1" applyFont="1" applyBorder="1"/>
    <xf numFmtId="164" fontId="26" fillId="0" borderId="9" xfId="0" applyNumberFormat="1" applyFont="1" applyBorder="1"/>
    <xf numFmtId="0" fontId="26" fillId="0" borderId="9" xfId="0" applyFont="1" applyBorder="1" applyAlignment="1">
      <alignment horizontal="right"/>
    </xf>
    <xf numFmtId="10" fontId="1" fillId="0" borderId="6" xfId="0" applyNumberFormat="1" applyFont="1" applyBorder="1"/>
    <xf numFmtId="0" fontId="34" fillId="7" borderId="28" xfId="0" applyFont="1" applyFill="1" applyBorder="1" applyProtection="1">
      <protection locked="0"/>
    </xf>
    <xf numFmtId="0" fontId="34" fillId="7" borderId="29" xfId="0" applyFont="1" applyFill="1" applyBorder="1" applyProtection="1">
      <protection locked="0"/>
    </xf>
    <xf numFmtId="0" fontId="34" fillId="7" borderId="30" xfId="0" applyFont="1" applyFill="1" applyBorder="1" applyProtection="1">
      <protection locked="0"/>
    </xf>
    <xf numFmtId="0" fontId="34" fillId="7" borderId="31" xfId="0" applyFont="1" applyFill="1" applyBorder="1" applyProtection="1">
      <protection locked="0"/>
    </xf>
    <xf numFmtId="0" fontId="34" fillId="7" borderId="20" xfId="2" applyNumberFormat="1" applyFont="1" applyFill="1" applyBorder="1" applyProtection="1">
      <protection locked="0"/>
    </xf>
    <xf numFmtId="0" fontId="34" fillId="7" borderId="0" xfId="2" applyNumberFormat="1" applyFont="1" applyFill="1" applyBorder="1" applyProtection="1">
      <protection locked="0"/>
    </xf>
    <xf numFmtId="164" fontId="34" fillId="7" borderId="20" xfId="1" applyNumberFormat="1" applyFont="1" applyFill="1" applyBorder="1" applyProtection="1">
      <protection locked="0"/>
    </xf>
    <xf numFmtId="164" fontId="34" fillId="7" borderId="0" xfId="0" applyNumberFormat="1" applyFont="1" applyFill="1" applyProtection="1">
      <protection locked="0"/>
    </xf>
    <xf numFmtId="43" fontId="34" fillId="7" borderId="0" xfId="0" applyNumberFormat="1" applyFont="1" applyFill="1" applyProtection="1">
      <protection locked="0"/>
    </xf>
    <xf numFmtId="164" fontId="34" fillId="7" borderId="20" xfId="0" applyNumberFormat="1" applyFont="1" applyFill="1" applyBorder="1" applyProtection="1">
      <protection locked="0"/>
    </xf>
    <xf numFmtId="0" fontId="34" fillId="7" borderId="32" xfId="0" applyFont="1" applyFill="1" applyBorder="1" applyProtection="1">
      <protection locked="0"/>
    </xf>
    <xf numFmtId="0" fontId="34" fillId="7" borderId="21" xfId="0" applyFont="1" applyFill="1" applyBorder="1" applyProtection="1">
      <protection locked="0"/>
    </xf>
    <xf numFmtId="0" fontId="34" fillId="7" borderId="33" xfId="0" applyFont="1" applyFill="1" applyBorder="1" applyProtection="1">
      <protection locked="0"/>
    </xf>
    <xf numFmtId="169" fontId="34" fillId="7" borderId="59" xfId="0" applyNumberFormat="1" applyFont="1" applyFill="1" applyBorder="1" applyProtection="1">
      <protection locked="0"/>
    </xf>
    <xf numFmtId="0" fontId="34" fillId="7" borderId="26" xfId="0" applyFont="1" applyFill="1" applyBorder="1" applyProtection="1">
      <protection locked="0"/>
    </xf>
    <xf numFmtId="0" fontId="34" fillId="7" borderId="27" xfId="0" applyFont="1" applyFill="1" applyBorder="1" applyProtection="1">
      <protection locked="0"/>
    </xf>
    <xf numFmtId="0" fontId="0" fillId="6" borderId="2" xfId="0" applyFill="1" applyBorder="1" applyAlignment="1" applyProtection="1">
      <alignment horizontal="center"/>
      <protection locked="0"/>
    </xf>
    <xf numFmtId="0" fontId="41" fillId="0" borderId="0" xfId="0" applyFont="1"/>
    <xf numFmtId="0" fontId="35" fillId="5" borderId="25" xfId="0" applyFont="1" applyFill="1" applyBorder="1"/>
    <xf numFmtId="0" fontId="35" fillId="5" borderId="26" xfId="0" applyFont="1" applyFill="1" applyBorder="1"/>
    <xf numFmtId="0" fontId="35" fillId="5" borderId="27" xfId="0" applyFont="1" applyFill="1" applyBorder="1"/>
    <xf numFmtId="0" fontId="41" fillId="12" borderId="2" xfId="0" applyFont="1" applyFill="1" applyBorder="1" applyAlignment="1">
      <alignment wrapText="1"/>
    </xf>
    <xf numFmtId="0" fontId="26" fillId="0" borderId="24" xfId="1" applyNumberFormat="1" applyFont="1" applyBorder="1" applyAlignment="1" applyProtection="1">
      <alignment horizontal="right"/>
    </xf>
    <xf numFmtId="0" fontId="36" fillId="2" borderId="25" xfId="0" applyFont="1" applyFill="1" applyBorder="1"/>
    <xf numFmtId="0" fontId="36" fillId="2" borderId="26" xfId="0" applyFont="1" applyFill="1" applyBorder="1"/>
    <xf numFmtId="0" fontId="36" fillId="2" borderId="27" xfId="0" applyFont="1" applyFill="1" applyBorder="1"/>
    <xf numFmtId="164" fontId="2" fillId="0" borderId="2" xfId="1" applyNumberFormat="1" applyFont="1" applyBorder="1" applyProtection="1"/>
    <xf numFmtId="0" fontId="26" fillId="13" borderId="5" xfId="1" applyNumberFormat="1" applyFont="1" applyFill="1" applyBorder="1" applyAlignment="1" applyProtection="1">
      <alignment horizontal="right" shrinkToFit="1"/>
    </xf>
    <xf numFmtId="0" fontId="26" fillId="13" borderId="2" xfId="1" applyNumberFormat="1" applyFont="1" applyFill="1" applyBorder="1" applyAlignment="1" applyProtection="1">
      <alignment horizontal="right" shrinkToFit="1"/>
    </xf>
    <xf numFmtId="0" fontId="26" fillId="13" borderId="6" xfId="1" applyNumberFormat="1" applyFont="1" applyFill="1" applyBorder="1" applyAlignment="1" applyProtection="1">
      <alignment horizontal="right" shrinkToFit="1"/>
    </xf>
    <xf numFmtId="0" fontId="26" fillId="0" borderId="45" xfId="1" applyNumberFormat="1" applyFont="1" applyBorder="1" applyAlignment="1" applyProtection="1">
      <alignment horizontal="right" vertical="center"/>
    </xf>
    <xf numFmtId="0" fontId="2" fillId="0" borderId="18" xfId="0" applyFont="1" applyBorder="1"/>
    <xf numFmtId="0" fontId="2" fillId="0" borderId="19" xfId="0" applyFont="1" applyBorder="1"/>
    <xf numFmtId="0" fontId="2" fillId="0" borderId="24" xfId="0" applyFont="1" applyBorder="1"/>
    <xf numFmtId="164" fontId="1" fillId="0" borderId="2" xfId="1" applyNumberFormat="1" applyFont="1" applyBorder="1" applyProtection="1"/>
    <xf numFmtId="0" fontId="26" fillId="0" borderId="44" xfId="1" applyNumberFormat="1" applyFont="1" applyBorder="1" applyAlignment="1" applyProtection="1">
      <alignment horizontal="right" vertical="center"/>
    </xf>
    <xf numFmtId="0" fontId="2" fillId="0" borderId="45" xfId="0" applyFont="1" applyBorder="1"/>
    <xf numFmtId="0" fontId="26" fillId="0" borderId="12" xfId="1" applyNumberFormat="1" applyFont="1" applyBorder="1" applyAlignment="1" applyProtection="1">
      <alignment horizontal="center"/>
    </xf>
    <xf numFmtId="0" fontId="26" fillId="0" borderId="22" xfId="1" applyNumberFormat="1" applyFont="1" applyBorder="1" applyAlignment="1" applyProtection="1">
      <alignment horizontal="center"/>
    </xf>
    <xf numFmtId="0" fontId="26" fillId="0" borderId="1" xfId="1" applyNumberFormat="1" applyFont="1" applyBorder="1" applyAlignment="1" applyProtection="1">
      <alignment horizontal="right" vertical="center"/>
    </xf>
    <xf numFmtId="164" fontId="15" fillId="0" borderId="2" xfId="1" applyNumberFormat="1" applyFont="1" applyBorder="1" applyProtection="1"/>
    <xf numFmtId="0" fontId="15" fillId="0" borderId="6" xfId="0" applyFont="1" applyBorder="1"/>
    <xf numFmtId="164" fontId="15" fillId="0" borderId="10" xfId="1" applyNumberFormat="1" applyFont="1" applyBorder="1" applyProtection="1"/>
    <xf numFmtId="0" fontId="2" fillId="0" borderId="14" xfId="0" applyFont="1" applyBorder="1" applyAlignment="1">
      <alignment horizontal="left" indent="3"/>
    </xf>
    <xf numFmtId="0" fontId="2" fillId="0" borderId="10" xfId="0" applyFont="1" applyBorder="1" applyAlignment="1">
      <alignment horizontal="left" indent="3"/>
    </xf>
    <xf numFmtId="0" fontId="2" fillId="0" borderId="45" xfId="0" applyFont="1" applyBorder="1" applyAlignment="1">
      <alignment horizontal="left" indent="3"/>
    </xf>
    <xf numFmtId="169" fontId="2" fillId="0" borderId="61" xfId="1" applyNumberFormat="1" applyFont="1" applyBorder="1" applyAlignment="1" applyProtection="1">
      <alignment horizontal="center"/>
    </xf>
    <xf numFmtId="169" fontId="2" fillId="0" borderId="5" xfId="1" applyNumberFormat="1" applyFont="1" applyBorder="1" applyAlignment="1" applyProtection="1">
      <alignment horizontal="center"/>
    </xf>
    <xf numFmtId="169" fontId="2" fillId="0" borderId="2" xfId="1" applyNumberFormat="1" applyFont="1" applyBorder="1" applyAlignment="1" applyProtection="1">
      <alignment horizontal="center"/>
    </xf>
    <xf numFmtId="169" fontId="2" fillId="0" borderId="6" xfId="1" applyNumberFormat="1" applyFont="1" applyBorder="1" applyAlignment="1" applyProtection="1">
      <alignment horizontal="center"/>
    </xf>
    <xf numFmtId="164" fontId="15" fillId="0" borderId="9" xfId="1" applyNumberFormat="1" applyFont="1" applyBorder="1" applyProtection="1"/>
    <xf numFmtId="0" fontId="2" fillId="0" borderId="61" xfId="1" applyNumberFormat="1" applyFont="1" applyBorder="1" applyAlignment="1" applyProtection="1">
      <alignment horizontal="center"/>
    </xf>
    <xf numFmtId="0" fontId="2" fillId="0" borderId="5" xfId="1" applyNumberFormat="1" applyFont="1" applyBorder="1" applyAlignment="1" applyProtection="1">
      <alignment horizontal="center"/>
    </xf>
    <xf numFmtId="0" fontId="2" fillId="0" borderId="2" xfId="1" applyNumberFormat="1" applyFont="1" applyBorder="1" applyAlignment="1" applyProtection="1">
      <alignment horizontal="center"/>
    </xf>
    <xf numFmtId="0" fontId="2" fillId="0" borderId="6" xfId="1" applyNumberFormat="1" applyFont="1" applyBorder="1" applyAlignment="1" applyProtection="1">
      <alignment horizontal="center"/>
    </xf>
    <xf numFmtId="164" fontId="26" fillId="0" borderId="12" xfId="1" applyNumberFormat="1" applyFont="1" applyBorder="1" applyProtection="1"/>
    <xf numFmtId="164" fontId="15" fillId="0" borderId="22" xfId="1" applyNumberFormat="1" applyFont="1" applyBorder="1" applyProtection="1"/>
    <xf numFmtId="164" fontId="26" fillId="0" borderId="60" xfId="1" applyNumberFormat="1" applyFont="1" applyBorder="1" applyProtection="1"/>
    <xf numFmtId="164" fontId="26" fillId="0" borderId="3" xfId="1" applyNumberFormat="1" applyFont="1" applyBorder="1" applyProtection="1"/>
    <xf numFmtId="164" fontId="26" fillId="0" borderId="4" xfId="1" applyNumberFormat="1" applyFont="1" applyBorder="1" applyProtection="1"/>
    <xf numFmtId="164" fontId="26" fillId="0" borderId="13" xfId="1" applyNumberFormat="1" applyFont="1" applyBorder="1" applyProtection="1"/>
    <xf numFmtId="9" fontId="2" fillId="0" borderId="61" xfId="2" applyFont="1" applyBorder="1" applyAlignment="1" applyProtection="1">
      <alignment horizontal="center"/>
    </xf>
    <xf numFmtId="9" fontId="2" fillId="0" borderId="5" xfId="2" applyFont="1" applyBorder="1" applyAlignment="1" applyProtection="1">
      <alignment horizontal="center"/>
    </xf>
    <xf numFmtId="9" fontId="2" fillId="0" borderId="2" xfId="2" applyFont="1" applyBorder="1" applyAlignment="1" applyProtection="1">
      <alignment horizontal="center"/>
    </xf>
    <xf numFmtId="9" fontId="2" fillId="0" borderId="6" xfId="2" applyFont="1" applyBorder="1" applyAlignment="1" applyProtection="1">
      <alignment horizontal="center"/>
    </xf>
    <xf numFmtId="164" fontId="26" fillId="0" borderId="22" xfId="1" applyNumberFormat="1" applyFont="1" applyBorder="1" applyProtection="1"/>
    <xf numFmtId="0" fontId="2" fillId="0" borderId="15" xfId="0" applyFont="1" applyBorder="1" applyAlignment="1">
      <alignment horizontal="left" indent="3"/>
    </xf>
    <xf numFmtId="0" fontId="2" fillId="0" borderId="17" xfId="0" applyFont="1" applyBorder="1" applyAlignment="1">
      <alignment horizontal="left" indent="3"/>
    </xf>
    <xf numFmtId="0" fontId="2" fillId="0" borderId="44" xfId="0" applyFont="1" applyBorder="1" applyAlignment="1">
      <alignment horizontal="left" indent="3"/>
    </xf>
    <xf numFmtId="9" fontId="2" fillId="0" borderId="62" xfId="2" applyFont="1" applyBorder="1" applyAlignment="1" applyProtection="1">
      <alignment horizontal="center"/>
    </xf>
    <xf numFmtId="9" fontId="2" fillId="0" borderId="51" xfId="2" applyFont="1" applyBorder="1" applyAlignment="1" applyProtection="1">
      <alignment horizontal="center"/>
    </xf>
    <xf numFmtId="9" fontId="2" fillId="0" borderId="52" xfId="2" applyFont="1" applyBorder="1" applyAlignment="1" applyProtection="1">
      <alignment horizontal="center"/>
    </xf>
    <xf numFmtId="9" fontId="2" fillId="0" borderId="47" xfId="2" applyFont="1" applyBorder="1" applyAlignment="1" applyProtection="1">
      <alignment horizontal="center"/>
    </xf>
    <xf numFmtId="9" fontId="15" fillId="0" borderId="61" xfId="2" applyFont="1" applyBorder="1" applyProtection="1"/>
    <xf numFmtId="9" fontId="15" fillId="0" borderId="2" xfId="2" applyFont="1" applyBorder="1" applyProtection="1"/>
    <xf numFmtId="0" fontId="36" fillId="2" borderId="59" xfId="1" applyNumberFormat="1" applyFont="1" applyFill="1" applyBorder="1" applyAlignment="1" applyProtection="1">
      <alignment horizontal="center"/>
    </xf>
    <xf numFmtId="0" fontId="36" fillId="2" borderId="48" xfId="1" applyNumberFormat="1" applyFont="1" applyFill="1" applyBorder="1" applyAlignment="1" applyProtection="1">
      <alignment horizontal="center"/>
    </xf>
    <xf numFmtId="0" fontId="36" fillId="2" borderId="49" xfId="1" applyNumberFormat="1" applyFont="1" applyFill="1" applyBorder="1" applyAlignment="1" applyProtection="1">
      <alignment horizontal="center"/>
    </xf>
    <xf numFmtId="0" fontId="36" fillId="2" borderId="50" xfId="1" applyNumberFormat="1" applyFont="1" applyFill="1" applyBorder="1" applyAlignment="1" applyProtection="1">
      <alignment horizontal="center"/>
    </xf>
    <xf numFmtId="0" fontId="26" fillId="0" borderId="18" xfId="0" applyFont="1" applyBorder="1"/>
    <xf numFmtId="169" fontId="2" fillId="0" borderId="60" xfId="0" applyNumberFormat="1" applyFont="1" applyBorder="1" applyAlignment="1">
      <alignment horizontal="center"/>
    </xf>
    <xf numFmtId="0" fontId="2" fillId="0" borderId="0" xfId="0" applyFont="1" applyAlignment="1">
      <alignment horizontal="center"/>
    </xf>
    <xf numFmtId="169" fontId="2" fillId="0" borderId="61" xfId="0" applyNumberFormat="1" applyFont="1" applyBorder="1" applyAlignment="1">
      <alignment horizontal="center"/>
    </xf>
    <xf numFmtId="10" fontId="2" fillId="0" borderId="0" xfId="0" applyNumberFormat="1" applyFont="1" applyAlignment="1">
      <alignment horizontal="center"/>
    </xf>
    <xf numFmtId="0" fontId="2" fillId="0" borderId="61" xfId="0" applyFont="1" applyBorder="1" applyAlignment="1">
      <alignment horizontal="center"/>
    </xf>
    <xf numFmtId="0" fontId="2" fillId="0" borderId="11" xfId="0" applyFont="1" applyBorder="1" applyAlignment="1">
      <alignment horizontal="center"/>
    </xf>
    <xf numFmtId="0" fontId="2" fillId="0" borderId="14" xfId="0" applyFont="1" applyBorder="1" applyAlignment="1">
      <alignment horizontal="left" indent="6"/>
    </xf>
    <xf numFmtId="0" fontId="2" fillId="0" borderId="10" xfId="0" applyFont="1" applyBorder="1" applyAlignment="1">
      <alignment horizontal="left" indent="6"/>
    </xf>
    <xf numFmtId="0" fontId="2" fillId="0" borderId="45" xfId="0" applyFont="1" applyBorder="1" applyAlignment="1">
      <alignment horizontal="left" indent="6"/>
    </xf>
    <xf numFmtId="10" fontId="2" fillId="0" borderId="11" xfId="0" applyNumberFormat="1" applyFont="1" applyBorder="1" applyAlignment="1">
      <alignment horizontal="center"/>
    </xf>
    <xf numFmtId="43" fontId="15" fillId="0" borderId="2" xfId="1" applyFont="1" applyBorder="1" applyProtection="1"/>
    <xf numFmtId="43" fontId="15" fillId="0" borderId="6" xfId="1" applyFont="1" applyBorder="1" applyProtection="1"/>
    <xf numFmtId="0" fontId="36" fillId="0" borderId="25" xfId="0" applyFont="1" applyBorder="1" applyAlignment="1">
      <alignment horizontal="left" indent="3"/>
    </xf>
    <xf numFmtId="0" fontId="36" fillId="0" borderId="26" xfId="0" applyFont="1" applyBorder="1" applyAlignment="1">
      <alignment horizontal="left" indent="3"/>
    </xf>
    <xf numFmtId="0" fontId="36" fillId="0" borderId="27" xfId="0" applyFont="1" applyBorder="1" applyAlignment="1">
      <alignment horizontal="left" indent="3"/>
    </xf>
    <xf numFmtId="169" fontId="36" fillId="0" borderId="48" xfId="0" applyNumberFormat="1" applyFont="1" applyBorder="1" applyAlignment="1">
      <alignment horizontal="center"/>
    </xf>
    <xf numFmtId="169" fontId="36" fillId="0" borderId="49" xfId="0" applyNumberFormat="1" applyFont="1" applyBorder="1" applyAlignment="1">
      <alignment horizontal="center"/>
    </xf>
    <xf numFmtId="169" fontId="36" fillId="0" borderId="50" xfId="0" applyNumberFormat="1" applyFont="1" applyBorder="1" applyAlignment="1">
      <alignment horizontal="center"/>
    </xf>
    <xf numFmtId="0" fontId="1" fillId="0" borderId="14" xfId="0" applyFont="1" applyBorder="1" applyAlignment="1">
      <alignment horizontal="left" indent="6"/>
    </xf>
    <xf numFmtId="0" fontId="2" fillId="13" borderId="18" xfId="0" applyFont="1" applyFill="1" applyBorder="1"/>
    <xf numFmtId="0" fontId="2" fillId="13" borderId="19" xfId="0" applyFont="1" applyFill="1" applyBorder="1"/>
    <xf numFmtId="0" fontId="2" fillId="13" borderId="24" xfId="0" applyFont="1" applyFill="1" applyBorder="1"/>
    <xf numFmtId="169" fontId="2" fillId="13" borderId="5" xfId="0" applyNumberFormat="1" applyFont="1" applyFill="1" applyBorder="1" applyAlignment="1">
      <alignment horizontal="center"/>
    </xf>
    <xf numFmtId="169" fontId="2" fillId="13" borderId="2" xfId="0" applyNumberFormat="1" applyFont="1" applyFill="1" applyBorder="1" applyAlignment="1">
      <alignment horizontal="center"/>
    </xf>
    <xf numFmtId="169" fontId="2" fillId="13" borderId="6" xfId="0" applyNumberFormat="1" applyFont="1" applyFill="1" applyBorder="1" applyAlignment="1">
      <alignment horizontal="center"/>
    </xf>
    <xf numFmtId="169" fontId="2" fillId="0" borderId="5" xfId="0" applyNumberFormat="1" applyFont="1" applyBorder="1" applyAlignment="1">
      <alignment horizontal="center"/>
    </xf>
    <xf numFmtId="169" fontId="2" fillId="0" borderId="2" xfId="0" applyNumberFormat="1" applyFont="1" applyBorder="1" applyAlignment="1">
      <alignment horizontal="center"/>
    </xf>
    <xf numFmtId="169" fontId="2" fillId="0" borderId="6" xfId="0" applyNumberFormat="1" applyFont="1" applyBorder="1" applyAlignment="1">
      <alignment horizontal="center"/>
    </xf>
    <xf numFmtId="0" fontId="2" fillId="0" borderId="46" xfId="0" applyFont="1" applyBorder="1" applyAlignment="1">
      <alignment horizontal="left" indent="3"/>
    </xf>
    <xf numFmtId="0" fontId="2" fillId="0" borderId="37" xfId="0" applyFont="1" applyBorder="1" applyAlignment="1">
      <alignment horizontal="left" indent="3"/>
    </xf>
    <xf numFmtId="0" fontId="2" fillId="0" borderId="70" xfId="0" applyFont="1" applyBorder="1" applyAlignment="1">
      <alignment horizontal="left" indent="3"/>
    </xf>
    <xf numFmtId="10" fontId="2" fillId="0" borderId="66" xfId="2" applyNumberFormat="1" applyFont="1" applyBorder="1" applyAlignment="1" applyProtection="1">
      <alignment horizontal="center"/>
    </xf>
    <xf numFmtId="0" fontId="2" fillId="0" borderId="5" xfId="0" applyFont="1" applyBorder="1" applyAlignment="1">
      <alignment horizontal="center"/>
    </xf>
    <xf numFmtId="0" fontId="2" fillId="0" borderId="2" xfId="0" applyFont="1" applyBorder="1" applyAlignment="1">
      <alignment horizontal="center"/>
    </xf>
    <xf numFmtId="0" fontId="2" fillId="0" borderId="6" xfId="0" applyFont="1" applyBorder="1" applyAlignment="1">
      <alignment horizontal="center"/>
    </xf>
    <xf numFmtId="164" fontId="15" fillId="0" borderId="8" xfId="1" applyNumberFormat="1" applyFont="1" applyBorder="1" applyProtection="1"/>
    <xf numFmtId="0" fontId="2" fillId="0" borderId="19" xfId="0" applyFont="1" applyBorder="1" applyAlignment="1">
      <alignment horizontal="left"/>
    </xf>
    <xf numFmtId="0" fontId="2" fillId="0" borderId="24" xfId="0" applyFont="1" applyBorder="1" applyAlignment="1">
      <alignment horizontal="left"/>
    </xf>
    <xf numFmtId="169" fontId="2" fillId="0" borderId="60" xfId="2" applyNumberFormat="1" applyFont="1" applyBorder="1" applyAlignment="1" applyProtection="1">
      <alignment horizontal="center"/>
    </xf>
    <xf numFmtId="0" fontId="1" fillId="0" borderId="14" xfId="0" applyFont="1" applyBorder="1" applyAlignment="1">
      <alignment horizontal="left" indent="3"/>
    </xf>
    <xf numFmtId="169" fontId="2" fillId="0" borderId="61" xfId="2" applyNumberFormat="1" applyFont="1" applyBorder="1" applyAlignment="1" applyProtection="1">
      <alignment horizontal="center"/>
    </xf>
    <xf numFmtId="164" fontId="34" fillId="0" borderId="8" xfId="1" applyNumberFormat="1" applyFont="1" applyBorder="1" applyProtection="1"/>
    <xf numFmtId="165" fontId="34" fillId="0" borderId="7" xfId="2" applyNumberFormat="1" applyFont="1" applyBorder="1" applyProtection="1"/>
    <xf numFmtId="165" fontId="34" fillId="0" borderId="8" xfId="2" applyNumberFormat="1" applyFont="1" applyBorder="1" applyProtection="1"/>
    <xf numFmtId="165" fontId="34" fillId="0" borderId="9" xfId="2" applyNumberFormat="1" applyFont="1" applyBorder="1" applyProtection="1"/>
    <xf numFmtId="0" fontId="1" fillId="0" borderId="0" xfId="0" applyFont="1"/>
    <xf numFmtId="0" fontId="33" fillId="0" borderId="14" xfId="0" applyFont="1" applyBorder="1" applyAlignment="1">
      <alignment horizontal="left" indent="3"/>
    </xf>
    <xf numFmtId="0" fontId="33" fillId="0" borderId="10" xfId="0" applyFont="1" applyBorder="1" applyAlignment="1">
      <alignment horizontal="left" indent="3"/>
    </xf>
    <xf numFmtId="0" fontId="33" fillId="0" borderId="45" xfId="0" applyFont="1" applyBorder="1" applyAlignment="1">
      <alignment horizontal="left" indent="3"/>
    </xf>
    <xf numFmtId="169" fontId="33" fillId="0" borderId="61" xfId="0" applyNumberFormat="1" applyFont="1" applyBorder="1" applyAlignment="1">
      <alignment horizontal="center"/>
    </xf>
    <xf numFmtId="0" fontId="1" fillId="0" borderId="46" xfId="0" applyFont="1" applyBorder="1" applyAlignment="1">
      <alignment horizontal="left" indent="3"/>
    </xf>
    <xf numFmtId="169" fontId="2" fillId="0" borderId="66" xfId="0" applyNumberFormat="1" applyFont="1" applyBorder="1" applyAlignment="1">
      <alignment horizontal="center"/>
    </xf>
    <xf numFmtId="10" fontId="2" fillId="0" borderId="5" xfId="2" applyNumberFormat="1" applyFont="1" applyBorder="1" applyAlignment="1" applyProtection="1">
      <alignment horizontal="center"/>
    </xf>
    <xf numFmtId="10" fontId="2" fillId="0" borderId="2" xfId="2" applyNumberFormat="1" applyFont="1" applyBorder="1" applyAlignment="1" applyProtection="1">
      <alignment horizontal="center"/>
    </xf>
    <xf numFmtId="10" fontId="2" fillId="0" borderId="6" xfId="2" applyNumberFormat="1" applyFont="1" applyBorder="1" applyAlignment="1" applyProtection="1">
      <alignment horizontal="center"/>
    </xf>
    <xf numFmtId="169" fontId="2" fillId="0" borderId="5" xfId="2" applyNumberFormat="1" applyFont="1" applyBorder="1" applyAlignment="1" applyProtection="1">
      <alignment horizontal="center"/>
    </xf>
    <xf numFmtId="169" fontId="2" fillId="0" borderId="2" xfId="2" applyNumberFormat="1" applyFont="1" applyBorder="1" applyAlignment="1" applyProtection="1">
      <alignment horizontal="center"/>
    </xf>
    <xf numFmtId="169" fontId="2" fillId="0" borderId="6" xfId="2" applyNumberFormat="1" applyFont="1" applyBorder="1" applyAlignment="1" applyProtection="1">
      <alignment horizontal="center"/>
    </xf>
    <xf numFmtId="10" fontId="15" fillId="0" borderId="5" xfId="2" applyNumberFormat="1" applyFont="1" applyBorder="1" applyProtection="1"/>
    <xf numFmtId="0" fontId="33" fillId="0" borderId="46" xfId="0" applyFont="1" applyBorder="1" applyAlignment="1">
      <alignment horizontal="left" indent="3"/>
    </xf>
    <xf numFmtId="0" fontId="33" fillId="0" borderId="37" xfId="0" applyFont="1" applyBorder="1" applyAlignment="1">
      <alignment horizontal="left" indent="3"/>
    </xf>
    <xf numFmtId="0" fontId="33" fillId="0" borderId="70" xfId="0" applyFont="1" applyBorder="1" applyAlignment="1">
      <alignment horizontal="left" indent="3"/>
    </xf>
    <xf numFmtId="169" fontId="33" fillId="0" borderId="66" xfId="0" applyNumberFormat="1" applyFont="1" applyBorder="1" applyAlignment="1">
      <alignment horizontal="center"/>
    </xf>
    <xf numFmtId="0" fontId="26" fillId="0" borderId="15" xfId="0" applyFont="1" applyBorder="1" applyAlignment="1">
      <alignment horizontal="left" indent="3"/>
    </xf>
    <xf numFmtId="0" fontId="26" fillId="0" borderId="17" xfId="0" applyFont="1" applyBorder="1" applyAlignment="1">
      <alignment horizontal="left" indent="3"/>
    </xf>
    <xf numFmtId="0" fontId="26" fillId="0" borderId="44" xfId="0" applyFont="1" applyBorder="1" applyAlignment="1">
      <alignment horizontal="left" indent="3"/>
    </xf>
    <xf numFmtId="169" fontId="26" fillId="0" borderId="62" xfId="0" applyNumberFormat="1" applyFont="1" applyBorder="1" applyAlignment="1">
      <alignment horizontal="center"/>
    </xf>
    <xf numFmtId="10" fontId="26" fillId="0" borderId="7" xfId="2" applyNumberFormat="1" applyFont="1" applyBorder="1" applyAlignment="1" applyProtection="1">
      <alignment horizontal="center"/>
    </xf>
    <xf numFmtId="10" fontId="26" fillId="0" borderId="8" xfId="2" applyNumberFormat="1" applyFont="1" applyBorder="1" applyAlignment="1" applyProtection="1">
      <alignment horizontal="center"/>
    </xf>
    <xf numFmtId="10" fontId="26" fillId="0" borderId="9" xfId="2" applyNumberFormat="1" applyFont="1" applyBorder="1" applyAlignment="1" applyProtection="1">
      <alignment horizontal="center"/>
    </xf>
    <xf numFmtId="0" fontId="2" fillId="0" borderId="29" xfId="0" applyFont="1" applyBorder="1" applyAlignment="1">
      <alignment horizontal="left" indent="3"/>
    </xf>
    <xf numFmtId="0" fontId="2" fillId="0" borderId="30" xfId="0" applyFont="1" applyBorder="1" applyAlignment="1">
      <alignment horizontal="left" indent="3"/>
    </xf>
    <xf numFmtId="169" fontId="2" fillId="0" borderId="57" xfId="0" applyNumberFormat="1" applyFont="1" applyBorder="1" applyAlignment="1">
      <alignment horizontal="center"/>
    </xf>
    <xf numFmtId="0" fontId="69" fillId="0" borderId="46" xfId="11" applyFont="1" applyBorder="1" applyAlignment="1" applyProtection="1">
      <alignment horizontal="left" indent="3"/>
    </xf>
    <xf numFmtId="43" fontId="0" fillId="0" borderId="0" xfId="0" applyNumberFormat="1"/>
    <xf numFmtId="0" fontId="26" fillId="0" borderId="14" xfId="0" applyFont="1" applyBorder="1" applyAlignment="1">
      <alignment horizontal="left" indent="3"/>
    </xf>
    <xf numFmtId="0" fontId="26" fillId="0" borderId="10" xfId="0" applyFont="1" applyBorder="1" applyAlignment="1">
      <alignment horizontal="left" indent="3"/>
    </xf>
    <xf numFmtId="0" fontId="26" fillId="0" borderId="45" xfId="0" applyFont="1" applyBorder="1" applyAlignment="1">
      <alignment horizontal="left" indent="3"/>
    </xf>
    <xf numFmtId="169" fontId="26" fillId="0" borderId="61" xfId="0" applyNumberFormat="1" applyFont="1" applyBorder="1" applyAlignment="1">
      <alignment horizontal="center"/>
    </xf>
    <xf numFmtId="0" fontId="13" fillId="2" borderId="27" xfId="0" applyFont="1" applyFill="1" applyBorder="1"/>
    <xf numFmtId="9" fontId="22" fillId="0" borderId="0" xfId="0" applyNumberFormat="1" applyFont="1" applyAlignment="1">
      <alignment horizontal="center"/>
    </xf>
    <xf numFmtId="169" fontId="36" fillId="0" borderId="71" xfId="0" applyNumberFormat="1" applyFont="1" applyBorder="1" applyAlignment="1">
      <alignment horizontal="center"/>
    </xf>
    <xf numFmtId="0" fontId="26" fillId="0" borderId="13" xfId="1" applyNumberFormat="1" applyFont="1" applyBorder="1" applyProtection="1"/>
    <xf numFmtId="0" fontId="26" fillId="0" borderId="19" xfId="0" applyFont="1" applyBorder="1"/>
    <xf numFmtId="0" fontId="26" fillId="0" borderId="24" xfId="0" applyFont="1" applyBorder="1"/>
    <xf numFmtId="0" fontId="39" fillId="0" borderId="60" xfId="1" applyNumberFormat="1" applyFont="1" applyBorder="1" applyAlignment="1" applyProtection="1">
      <alignment horizontal="right"/>
    </xf>
    <xf numFmtId="0" fontId="26" fillId="0" borderId="22" xfId="1" applyNumberFormat="1" applyFont="1" applyBorder="1" applyProtection="1"/>
    <xf numFmtId="0" fontId="26" fillId="0" borderId="53" xfId="0" applyFont="1" applyBorder="1"/>
    <xf numFmtId="0" fontId="26" fillId="0" borderId="1" xfId="0" applyFont="1" applyBorder="1"/>
    <xf numFmtId="0" fontId="26" fillId="0" borderId="43" xfId="0" applyFont="1" applyBorder="1"/>
    <xf numFmtId="0" fontId="39" fillId="0" borderId="58" xfId="1" applyNumberFormat="1" applyFont="1" applyBorder="1" applyAlignment="1" applyProtection="1">
      <alignment horizontal="right"/>
    </xf>
    <xf numFmtId="165" fontId="20" fillId="0" borderId="2" xfId="2" applyNumberFormat="1" applyFont="1" applyBorder="1" applyProtection="1"/>
    <xf numFmtId="165" fontId="20" fillId="0" borderId="6" xfId="2" applyNumberFormat="1" applyFont="1" applyBorder="1" applyProtection="1"/>
    <xf numFmtId="165" fontId="20" fillId="0" borderId="61" xfId="2" applyNumberFormat="1" applyFont="1" applyBorder="1" applyProtection="1"/>
    <xf numFmtId="165" fontId="20" fillId="0" borderId="11" xfId="2" applyNumberFormat="1" applyFont="1" applyBorder="1" applyProtection="1"/>
    <xf numFmtId="0" fontId="20" fillId="0" borderId="14" xfId="0" applyFont="1" applyBorder="1"/>
    <xf numFmtId="0" fontId="20" fillId="0" borderId="10" xfId="0" applyFont="1" applyBorder="1"/>
    <xf numFmtId="0" fontId="20" fillId="0" borderId="45" xfId="0" applyFont="1" applyBorder="1"/>
    <xf numFmtId="0" fontId="20" fillId="0" borderId="15" xfId="0" applyFont="1" applyBorder="1"/>
    <xf numFmtId="0" fontId="20" fillId="0" borderId="17" xfId="0" applyFont="1" applyBorder="1"/>
    <xf numFmtId="0" fontId="20" fillId="0" borderId="44" xfId="0" applyFont="1" applyBorder="1"/>
    <xf numFmtId="0" fontId="26" fillId="7" borderId="22" xfId="1" applyNumberFormat="1" applyFont="1" applyFill="1" applyBorder="1" applyAlignment="1" applyProtection="1">
      <alignment horizontal="center"/>
      <protection locked="0"/>
    </xf>
    <xf numFmtId="0" fontId="26" fillId="7" borderId="23" xfId="1" applyNumberFormat="1" applyFont="1" applyFill="1" applyBorder="1" applyAlignment="1" applyProtection="1">
      <alignment horizontal="center"/>
      <protection locked="0"/>
    </xf>
    <xf numFmtId="0" fontId="26" fillId="7" borderId="12" xfId="1" applyNumberFormat="1" applyFont="1" applyFill="1" applyBorder="1" applyAlignment="1" applyProtection="1">
      <alignment horizontal="center"/>
      <protection locked="0"/>
    </xf>
    <xf numFmtId="0" fontId="39" fillId="7" borderId="35" xfId="1" applyNumberFormat="1" applyFont="1" applyFill="1" applyBorder="1" applyAlignment="1" applyProtection="1">
      <alignment horizontal="right" shrinkToFit="1"/>
      <protection locked="0"/>
    </xf>
    <xf numFmtId="0" fontId="39" fillId="7" borderId="4" xfId="1" applyNumberFormat="1" applyFont="1" applyFill="1" applyBorder="1" applyAlignment="1" applyProtection="1">
      <alignment horizontal="right" shrinkToFit="1"/>
      <protection locked="0"/>
    </xf>
    <xf numFmtId="0" fontId="39" fillId="7" borderId="13" xfId="1" applyNumberFormat="1" applyFont="1" applyFill="1" applyBorder="1" applyAlignment="1" applyProtection="1">
      <alignment horizontal="right" shrinkToFit="1"/>
      <protection locked="0"/>
    </xf>
    <xf numFmtId="0" fontId="26" fillId="7" borderId="11" xfId="1" applyNumberFormat="1" applyFont="1" applyFill="1" applyBorder="1" applyAlignment="1" applyProtection="1">
      <alignment horizontal="right"/>
      <protection locked="0"/>
    </xf>
    <xf numFmtId="0" fontId="26" fillId="7" borderId="2" xfId="1" applyNumberFormat="1" applyFont="1" applyFill="1" applyBorder="1" applyAlignment="1" applyProtection="1">
      <alignment horizontal="right"/>
      <protection locked="0"/>
    </xf>
    <xf numFmtId="0" fontId="26" fillId="7" borderId="6" xfId="1" applyNumberFormat="1" applyFont="1" applyFill="1" applyBorder="1" applyAlignment="1" applyProtection="1">
      <alignment horizontal="right"/>
      <protection locked="0"/>
    </xf>
    <xf numFmtId="1" fontId="26" fillId="7" borderId="16" xfId="1" applyNumberFormat="1" applyFont="1" applyFill="1" applyBorder="1" applyAlignment="1" applyProtection="1">
      <alignment horizontal="right"/>
      <protection locked="0"/>
    </xf>
    <xf numFmtId="1" fontId="26" fillId="7" borderId="8" xfId="1" applyNumberFormat="1" applyFont="1" applyFill="1" applyBorder="1" applyAlignment="1" applyProtection="1">
      <alignment horizontal="right"/>
      <protection locked="0"/>
    </xf>
    <xf numFmtId="1" fontId="26" fillId="7" borderId="9" xfId="1" applyNumberFormat="1" applyFont="1" applyFill="1" applyBorder="1" applyAlignment="1" applyProtection="1">
      <alignment horizontal="right"/>
      <protection locked="0"/>
    </xf>
    <xf numFmtId="0" fontId="36" fillId="7" borderId="57" xfId="0" applyFont="1" applyFill="1" applyBorder="1" applyAlignment="1" applyProtection="1">
      <alignment horizontal="center"/>
      <protection locked="0"/>
    </xf>
    <xf numFmtId="169" fontId="2" fillId="7" borderId="61" xfId="1" applyNumberFormat="1" applyFont="1" applyFill="1" applyBorder="1" applyAlignment="1" applyProtection="1">
      <alignment horizontal="center"/>
      <protection locked="0"/>
    </xf>
    <xf numFmtId="169" fontId="2" fillId="7" borderId="58" xfId="1" applyNumberFormat="1" applyFont="1" applyFill="1" applyBorder="1" applyAlignment="1" applyProtection="1">
      <alignment horizontal="center"/>
      <protection locked="0"/>
    </xf>
    <xf numFmtId="0" fontId="2" fillId="7" borderId="61" xfId="1" applyNumberFormat="1" applyFont="1" applyFill="1" applyBorder="1" applyAlignment="1" applyProtection="1">
      <alignment horizontal="center"/>
      <protection locked="0"/>
    </xf>
    <xf numFmtId="10" fontId="2" fillId="7" borderId="61" xfId="0" applyNumberFormat="1" applyFont="1" applyFill="1" applyBorder="1" applyAlignment="1" applyProtection="1">
      <alignment horizontal="center"/>
      <protection locked="0"/>
    </xf>
    <xf numFmtId="169" fontId="2" fillId="7" borderId="66" xfId="0" applyNumberFormat="1" applyFont="1" applyFill="1" applyBorder="1" applyAlignment="1" applyProtection="1">
      <alignment horizontal="center"/>
      <protection locked="0"/>
    </xf>
    <xf numFmtId="0" fontId="36" fillId="7" borderId="48" xfId="0" applyFont="1" applyFill="1" applyBorder="1" applyAlignment="1" applyProtection="1">
      <alignment horizontal="center"/>
      <protection locked="0"/>
    </xf>
    <xf numFmtId="0" fontId="36" fillId="7" borderId="49" xfId="0" applyFont="1" applyFill="1" applyBorder="1" applyAlignment="1" applyProtection="1">
      <alignment horizontal="center"/>
      <protection locked="0"/>
    </xf>
    <xf numFmtId="0" fontId="36" fillId="7" borderId="50" xfId="0" applyFont="1" applyFill="1" applyBorder="1" applyAlignment="1" applyProtection="1">
      <alignment horizontal="center"/>
      <protection locked="0"/>
    </xf>
    <xf numFmtId="0" fontId="36" fillId="7" borderId="48" xfId="0" applyFont="1" applyFill="1" applyBorder="1" applyAlignment="1" applyProtection="1">
      <alignment horizontal="center" shrinkToFit="1"/>
      <protection locked="0"/>
    </xf>
    <xf numFmtId="0" fontId="36" fillId="7" borderId="49" xfId="0" applyFont="1" applyFill="1" applyBorder="1" applyAlignment="1" applyProtection="1">
      <alignment horizontal="center" shrinkToFit="1"/>
      <protection locked="0"/>
    </xf>
    <xf numFmtId="0" fontId="36" fillId="7" borderId="50" xfId="0" applyFont="1" applyFill="1" applyBorder="1" applyAlignment="1" applyProtection="1">
      <alignment horizontal="center" shrinkToFit="1"/>
      <protection locked="0"/>
    </xf>
    <xf numFmtId="169" fontId="2" fillId="7" borderId="23" xfId="1" applyNumberFormat="1" applyFont="1" applyFill="1" applyBorder="1" applyAlignment="1" applyProtection="1">
      <alignment horizontal="center"/>
      <protection locked="0"/>
    </xf>
    <xf numFmtId="169" fontId="2" fillId="7" borderId="12" xfId="1" applyNumberFormat="1" applyFont="1" applyFill="1" applyBorder="1" applyAlignment="1" applyProtection="1">
      <alignment horizontal="center"/>
      <protection locked="0"/>
    </xf>
    <xf numFmtId="169" fontId="2" fillId="7" borderId="22" xfId="1" applyNumberFormat="1" applyFont="1" applyFill="1" applyBorder="1" applyAlignment="1" applyProtection="1">
      <alignment horizontal="center"/>
      <protection locked="0"/>
    </xf>
    <xf numFmtId="0" fontId="2" fillId="7" borderId="5" xfId="1" applyNumberFormat="1" applyFont="1" applyFill="1" applyBorder="1" applyAlignment="1" applyProtection="1">
      <alignment horizontal="center"/>
      <protection locked="0"/>
    </xf>
    <xf numFmtId="0" fontId="2" fillId="7" borderId="2" xfId="1" applyNumberFormat="1" applyFont="1" applyFill="1" applyBorder="1" applyAlignment="1" applyProtection="1">
      <alignment horizontal="center"/>
      <protection locked="0"/>
    </xf>
    <xf numFmtId="0" fontId="2" fillId="7" borderId="6" xfId="1" applyNumberFormat="1" applyFont="1" applyFill="1" applyBorder="1" applyAlignment="1" applyProtection="1">
      <alignment horizontal="center"/>
      <protection locked="0"/>
    </xf>
    <xf numFmtId="169" fontId="2" fillId="7" borderId="5" xfId="1" applyNumberFormat="1" applyFont="1" applyFill="1" applyBorder="1" applyAlignment="1" applyProtection="1">
      <alignment horizontal="center"/>
      <protection locked="0"/>
    </xf>
    <xf numFmtId="169" fontId="2" fillId="7" borderId="2" xfId="1" applyNumberFormat="1" applyFont="1" applyFill="1" applyBorder="1" applyAlignment="1" applyProtection="1">
      <alignment horizontal="center"/>
      <protection locked="0"/>
    </xf>
    <xf numFmtId="169" fontId="2" fillId="7" borderId="6" xfId="1" applyNumberFormat="1" applyFont="1" applyFill="1" applyBorder="1" applyAlignment="1" applyProtection="1">
      <alignment horizontal="center"/>
      <protection locked="0"/>
    </xf>
    <xf numFmtId="169" fontId="2" fillId="7" borderId="51" xfId="0" applyNumberFormat="1" applyFont="1" applyFill="1" applyBorder="1" applyAlignment="1" applyProtection="1">
      <alignment horizontal="center"/>
      <protection locked="0"/>
    </xf>
    <xf numFmtId="169" fontId="2" fillId="7" borderId="52" xfId="0" applyNumberFormat="1" applyFont="1" applyFill="1" applyBorder="1" applyAlignment="1" applyProtection="1">
      <alignment horizontal="center"/>
      <protection locked="0"/>
    </xf>
    <xf numFmtId="169" fontId="2" fillId="7" borderId="47" xfId="0" applyNumberFormat="1" applyFont="1" applyFill="1" applyBorder="1" applyAlignment="1" applyProtection="1">
      <alignment horizontal="center"/>
      <protection locked="0"/>
    </xf>
    <xf numFmtId="0" fontId="63" fillId="6" borderId="20" xfId="4" applyFont="1" applyFill="1" applyBorder="1"/>
    <xf numFmtId="0" fontId="63" fillId="6" borderId="0" xfId="4" applyFont="1" applyFill="1"/>
    <xf numFmtId="0" fontId="55" fillId="6" borderId="0" xfId="4" applyFont="1" applyFill="1"/>
    <xf numFmtId="0" fontId="55" fillId="6" borderId="39" xfId="4" applyFont="1" applyFill="1" applyBorder="1"/>
    <xf numFmtId="0" fontId="56" fillId="6" borderId="67" xfId="4" applyFont="1" applyFill="1" applyBorder="1" applyAlignment="1">
      <alignment horizontal="center"/>
    </xf>
    <xf numFmtId="0" fontId="47" fillId="12" borderId="14" xfId="0" applyFont="1" applyFill="1" applyBorder="1"/>
    <xf numFmtId="0" fontId="47" fillId="12" borderId="10" xfId="0" applyFont="1" applyFill="1" applyBorder="1"/>
    <xf numFmtId="0" fontId="47" fillId="12" borderId="45" xfId="0" applyFont="1" applyFill="1" applyBorder="1"/>
    <xf numFmtId="0" fontId="56" fillId="0" borderId="20" xfId="4" applyFont="1" applyBorder="1"/>
    <xf numFmtId="0" fontId="55" fillId="0" borderId="0" xfId="4" applyFont="1"/>
    <xf numFmtId="38" fontId="34" fillId="0" borderId="12" xfId="4" applyNumberFormat="1" applyFont="1" applyBorder="1" applyAlignment="1">
      <alignment horizontal="right"/>
    </xf>
    <xf numFmtId="0" fontId="55" fillId="0" borderId="20" xfId="4" applyFont="1" applyBorder="1"/>
    <xf numFmtId="0" fontId="57" fillId="0" borderId="20" xfId="4" applyFont="1" applyBorder="1"/>
    <xf numFmtId="38" fontId="57" fillId="0" borderId="52" xfId="4" applyNumberFormat="1" applyFont="1" applyBorder="1" applyAlignment="1">
      <alignment horizontal="right"/>
    </xf>
    <xf numFmtId="0" fontId="55" fillId="0" borderId="20" xfId="4" applyFont="1" applyBorder="1" applyAlignment="1">
      <alignment horizontal="left"/>
    </xf>
    <xf numFmtId="0" fontId="57" fillId="0" borderId="20" xfId="4" applyFont="1" applyBorder="1" applyAlignment="1">
      <alignment horizontal="left"/>
    </xf>
    <xf numFmtId="38" fontId="57" fillId="0" borderId="2" xfId="4" applyNumberFormat="1" applyFont="1" applyBorder="1" applyAlignment="1">
      <alignment horizontal="right"/>
    </xf>
    <xf numFmtId="0" fontId="34" fillId="0" borderId="0" xfId="4" applyFont="1"/>
    <xf numFmtId="0" fontId="58" fillId="0" borderId="0" xfId="0" applyFont="1" applyAlignment="1">
      <alignment vertical="center" wrapText="1"/>
    </xf>
    <xf numFmtId="10" fontId="34" fillId="0" borderId="2" xfId="4" applyNumberFormat="1" applyFont="1" applyBorder="1" applyAlignment="1">
      <alignment horizontal="center"/>
    </xf>
    <xf numFmtId="5" fontId="58" fillId="14" borderId="10" xfId="4" applyNumberFormat="1" applyFont="1" applyFill="1" applyBorder="1" applyAlignment="1">
      <alignment horizontal="center"/>
    </xf>
    <xf numFmtId="38" fontId="56" fillId="0" borderId="2" xfId="4" applyNumberFormat="1" applyFont="1" applyBorder="1" applyAlignment="1">
      <alignment horizontal="right"/>
    </xf>
    <xf numFmtId="0" fontId="60" fillId="0" borderId="0" xfId="4" applyFont="1" applyAlignment="1">
      <alignment horizontal="left"/>
    </xf>
    <xf numFmtId="0" fontId="59" fillId="0" borderId="0" xfId="4" applyFont="1"/>
    <xf numFmtId="38" fontId="56" fillId="0" borderId="52" xfId="4" applyNumberFormat="1" applyFont="1" applyBorder="1" applyAlignment="1">
      <alignment horizontal="right"/>
    </xf>
    <xf numFmtId="165" fontId="34" fillId="0" borderId="2" xfId="4" applyNumberFormat="1" applyFont="1" applyBorder="1" applyAlignment="1">
      <alignment horizontal="center"/>
    </xf>
    <xf numFmtId="0" fontId="34" fillId="0" borderId="20" xfId="4" applyFont="1" applyBorder="1" applyAlignment="1">
      <alignment horizontal="left"/>
    </xf>
    <xf numFmtId="38" fontId="34" fillId="0" borderId="2" xfId="4" applyNumberFormat="1" applyFont="1" applyBorder="1" applyAlignment="1">
      <alignment horizontal="right"/>
    </xf>
    <xf numFmtId="0" fontId="34" fillId="0" borderId="20" xfId="4" applyFont="1" applyBorder="1"/>
    <xf numFmtId="0" fontId="62" fillId="0" borderId="0" xfId="4" applyFont="1"/>
    <xf numFmtId="49" fontId="55" fillId="0" borderId="0" xfId="4" applyNumberFormat="1" applyFont="1"/>
    <xf numFmtId="0" fontId="56" fillId="0" borderId="32" xfId="4" applyFont="1" applyBorder="1"/>
    <xf numFmtId="0" fontId="34" fillId="0" borderId="21" xfId="4" applyFont="1" applyBorder="1"/>
    <xf numFmtId="38" fontId="57" fillId="0" borderId="68" xfId="4" applyNumberFormat="1" applyFont="1" applyBorder="1" applyAlignment="1">
      <alignment horizontal="right"/>
    </xf>
    <xf numFmtId="0" fontId="27" fillId="3" borderId="19" xfId="0" applyFont="1" applyFill="1" applyBorder="1"/>
    <xf numFmtId="0" fontId="27" fillId="3" borderId="12" xfId="0" applyFont="1" applyFill="1" applyBorder="1"/>
    <xf numFmtId="10" fontId="0" fillId="0" borderId="16" xfId="2" applyNumberFormat="1" applyFont="1" applyFill="1" applyBorder="1" applyProtection="1"/>
    <xf numFmtId="2" fontId="5" fillId="0" borderId="2" xfId="0" applyNumberFormat="1" applyFont="1" applyBorder="1" applyAlignment="1">
      <alignment horizontal="right"/>
    </xf>
    <xf numFmtId="2" fontId="16" fillId="0" borderId="2" xfId="0" applyNumberFormat="1" applyFont="1" applyBorder="1" applyAlignment="1">
      <alignment horizontal="right"/>
    </xf>
    <xf numFmtId="164" fontId="26" fillId="0" borderId="8" xfId="1" applyNumberFormat="1" applyFont="1" applyFill="1" applyBorder="1" applyProtection="1"/>
    <xf numFmtId="10" fontId="0" fillId="0" borderId="8" xfId="2" applyNumberFormat="1" applyFont="1" applyFill="1" applyBorder="1" applyProtection="1"/>
    <xf numFmtId="164" fontId="26" fillId="0" borderId="55" xfId="1" applyNumberFormat="1" applyFont="1" applyBorder="1" applyProtection="1"/>
    <xf numFmtId="10" fontId="16" fillId="7" borderId="6" xfId="0" applyNumberFormat="1" applyFont="1" applyFill="1" applyBorder="1"/>
    <xf numFmtId="2" fontId="16" fillId="7" borderId="6" xfId="0" applyNumberFormat="1" applyFont="1" applyFill="1" applyBorder="1"/>
    <xf numFmtId="164" fontId="26" fillId="0" borderId="47" xfId="1" applyNumberFormat="1" applyFont="1" applyBorder="1" applyProtection="1"/>
    <xf numFmtId="164" fontId="16" fillId="7" borderId="6" xfId="1" applyNumberFormat="1" applyFont="1" applyFill="1" applyBorder="1" applyProtection="1"/>
    <xf numFmtId="164" fontId="14" fillId="7" borderId="6" xfId="1" applyNumberFormat="1" applyFont="1" applyFill="1" applyBorder="1" applyProtection="1"/>
    <xf numFmtId="164" fontId="26" fillId="0" borderId="2" xfId="1" applyNumberFormat="1" applyFont="1" applyBorder="1" applyProtection="1"/>
    <xf numFmtId="10" fontId="1" fillId="7" borderId="6" xfId="0" applyNumberFormat="1" applyFont="1" applyFill="1" applyBorder="1"/>
    <xf numFmtId="10" fontId="26" fillId="0" borderId="6" xfId="2" applyNumberFormat="1" applyFont="1" applyBorder="1" applyProtection="1"/>
    <xf numFmtId="164" fontId="16" fillId="13" borderId="6" xfId="0" applyNumberFormat="1" applyFont="1" applyFill="1" applyBorder="1"/>
    <xf numFmtId="164" fontId="26" fillId="0" borderId="6" xfId="1" applyNumberFormat="1" applyFont="1" applyBorder="1" applyProtection="1"/>
    <xf numFmtId="167" fontId="50" fillId="7" borderId="6" xfId="0" applyNumberFormat="1" applyFont="1" applyFill="1" applyBorder="1"/>
    <xf numFmtId="0" fontId="26" fillId="7" borderId="2" xfId="0" applyFont="1" applyFill="1" applyBorder="1" applyAlignment="1">
      <alignment horizontal="center"/>
    </xf>
    <xf numFmtId="164" fontId="26" fillId="0" borderId="0" xfId="1" applyNumberFormat="1" applyFont="1" applyBorder="1" applyProtection="1"/>
    <xf numFmtId="0" fontId="2" fillId="0" borderId="32" xfId="0" applyFont="1" applyBorder="1" applyAlignment="1">
      <alignment horizontal="left"/>
    </xf>
    <xf numFmtId="0" fontId="5" fillId="0" borderId="21" xfId="0" applyFont="1" applyBorder="1" applyAlignment="1">
      <alignment horizontal="left"/>
    </xf>
    <xf numFmtId="164" fontId="26" fillId="0" borderId="33" xfId="1" applyNumberFormat="1" applyFont="1" applyBorder="1" applyProtection="1"/>
    <xf numFmtId="14" fontId="65" fillId="6" borderId="2" xfId="8" applyNumberFormat="1" applyFont="1" applyFill="1" applyBorder="1" applyAlignment="1">
      <alignment wrapText="1"/>
    </xf>
    <xf numFmtId="14" fontId="65" fillId="6" borderId="6" xfId="8" applyNumberFormat="1" applyFont="1" applyFill="1" applyBorder="1" applyAlignment="1">
      <alignment wrapText="1"/>
    </xf>
    <xf numFmtId="164" fontId="5" fillId="0" borderId="42" xfId="1" applyNumberFormat="1" applyFont="1" applyBorder="1" applyAlignment="1" applyProtection="1"/>
    <xf numFmtId="164" fontId="13" fillId="0" borderId="2" xfId="1" applyNumberFormat="1" applyFont="1" applyBorder="1" applyAlignment="1" applyProtection="1">
      <alignment horizontal="right"/>
    </xf>
    <xf numFmtId="164" fontId="13" fillId="0" borderId="42" xfId="1" applyNumberFormat="1" applyFont="1" applyBorder="1" applyAlignment="1" applyProtection="1"/>
    <xf numFmtId="164" fontId="1" fillId="0" borderId="6" xfId="1" applyNumberFormat="1" applyFont="1" applyBorder="1" applyAlignment="1" applyProtection="1">
      <alignment horizontal="right"/>
    </xf>
    <xf numFmtId="164" fontId="13" fillId="0" borderId="6" xfId="1" applyNumberFormat="1" applyFont="1" applyBorder="1" applyAlignment="1" applyProtection="1"/>
    <xf numFmtId="167" fontId="1" fillId="0" borderId="6" xfId="2" applyNumberFormat="1" applyFont="1" applyFill="1" applyBorder="1" applyAlignment="1" applyProtection="1">
      <alignment horizontal="right"/>
    </xf>
    <xf numFmtId="0" fontId="34" fillId="0" borderId="20" xfId="8" applyFont="1" applyBorder="1"/>
    <xf numFmtId="0" fontId="34" fillId="0" borderId="0" xfId="8" applyFont="1"/>
    <xf numFmtId="0" fontId="65" fillId="6" borderId="11" xfId="8" applyFont="1" applyFill="1" applyBorder="1" applyAlignment="1">
      <alignment horizontal="center" wrapText="1"/>
    </xf>
    <xf numFmtId="0" fontId="65" fillId="6" borderId="2" xfId="8" applyFont="1" applyFill="1" applyBorder="1" applyAlignment="1">
      <alignment horizontal="right" wrapText="1"/>
    </xf>
    <xf numFmtId="0" fontId="65" fillId="6" borderId="6" xfId="8" applyFont="1" applyFill="1" applyBorder="1" applyAlignment="1">
      <alignment horizontal="right" wrapText="1"/>
    </xf>
    <xf numFmtId="14" fontId="65" fillId="6" borderId="2" xfId="8" applyNumberFormat="1" applyFont="1" applyFill="1" applyBorder="1" applyAlignment="1">
      <alignment horizontal="center" wrapText="1"/>
    </xf>
    <xf numFmtId="14" fontId="65" fillId="6" borderId="42" xfId="8" applyNumberFormat="1" applyFont="1" applyFill="1" applyBorder="1" applyAlignment="1">
      <alignment wrapText="1"/>
    </xf>
    <xf numFmtId="3" fontId="34" fillId="0" borderId="11" xfId="8" applyNumberFormat="1" applyFont="1" applyBorder="1"/>
    <xf numFmtId="3" fontId="57" fillId="0" borderId="11" xfId="8" applyNumberFormat="1" applyFont="1" applyBorder="1"/>
    <xf numFmtId="3" fontId="57" fillId="0" borderId="6" xfId="8" applyNumberFormat="1" applyFont="1" applyBorder="1"/>
    <xf numFmtId="0" fontId="47" fillId="0" borderId="0" xfId="8" applyFont="1"/>
    <xf numFmtId="0" fontId="47" fillId="0" borderId="6" xfId="8" applyFont="1" applyBorder="1"/>
    <xf numFmtId="3" fontId="57" fillId="0" borderId="41" xfId="8" applyNumberFormat="1" applyFont="1" applyBorder="1"/>
    <xf numFmtId="3" fontId="57" fillId="0" borderId="22" xfId="8" applyNumberFormat="1" applyFont="1" applyBorder="1"/>
    <xf numFmtId="3" fontId="57" fillId="0" borderId="54" xfId="8" applyNumberFormat="1" applyFont="1" applyBorder="1"/>
    <xf numFmtId="3" fontId="57" fillId="0" borderId="68" xfId="8" applyNumberFormat="1" applyFont="1" applyBorder="1"/>
    <xf numFmtId="3" fontId="57" fillId="0" borderId="55" xfId="8" applyNumberFormat="1" applyFont="1" applyBorder="1"/>
    <xf numFmtId="2" fontId="0" fillId="7" borderId="2" xfId="2" applyNumberFormat="1" applyFont="1" applyFill="1" applyBorder="1" applyAlignment="1" applyProtection="1">
      <alignment horizontal="right"/>
      <protection locked="0"/>
    </xf>
    <xf numFmtId="14" fontId="65" fillId="7" borderId="2" xfId="8" applyNumberFormat="1" applyFont="1" applyFill="1" applyBorder="1" applyAlignment="1" applyProtection="1">
      <alignment horizontal="right" wrapText="1"/>
      <protection locked="0"/>
    </xf>
    <xf numFmtId="14" fontId="65" fillId="7" borderId="42" xfId="8" applyNumberFormat="1" applyFont="1" applyFill="1" applyBorder="1" applyAlignment="1" applyProtection="1">
      <alignment horizontal="right" wrapText="1"/>
      <protection locked="0"/>
    </xf>
    <xf numFmtId="14" fontId="65" fillId="7" borderId="6" xfId="8" applyNumberFormat="1" applyFont="1" applyFill="1" applyBorder="1" applyAlignment="1" applyProtection="1">
      <alignment horizontal="right" wrapText="1"/>
      <protection locked="0"/>
    </xf>
    <xf numFmtId="0" fontId="27" fillId="0" borderId="0" xfId="0" applyFont="1" applyAlignment="1">
      <alignment horizontal="center"/>
    </xf>
    <xf numFmtId="0" fontId="0" fillId="0" borderId="28" xfId="0" applyBorder="1"/>
    <xf numFmtId="0" fontId="30" fillId="0" borderId="4" xfId="0" applyFont="1" applyBorder="1" applyAlignment="1">
      <alignment horizontal="right"/>
    </xf>
    <xf numFmtId="0" fontId="26" fillId="0" borderId="65" xfId="0" applyFont="1" applyBorder="1" applyAlignment="1">
      <alignment horizontal="right"/>
    </xf>
    <xf numFmtId="0" fontId="26" fillId="0" borderId="5" xfId="0" applyFont="1" applyBorder="1"/>
    <xf numFmtId="0" fontId="21" fillId="0" borderId="2" xfId="0" applyFont="1" applyBorder="1"/>
    <xf numFmtId="0" fontId="21" fillId="0" borderId="42" xfId="0" applyFont="1" applyBorder="1"/>
    <xf numFmtId="0" fontId="21" fillId="0" borderId="5" xfId="0" applyFont="1" applyBorder="1"/>
    <xf numFmtId="10" fontId="29" fillId="0" borderId="2" xfId="0" applyNumberFormat="1" applyFont="1" applyBorder="1"/>
    <xf numFmtId="164" fontId="21" fillId="0" borderId="2" xfId="1" applyNumberFormat="1" applyFont="1" applyBorder="1" applyProtection="1"/>
    <xf numFmtId="164" fontId="21" fillId="0" borderId="42" xfId="1" applyNumberFormat="1" applyFont="1" applyBorder="1" applyProtection="1"/>
    <xf numFmtId="0" fontId="21" fillId="0" borderId="7" xfId="0" applyFont="1" applyBorder="1"/>
    <xf numFmtId="10" fontId="29" fillId="0" borderId="8" xfId="0" applyNumberFormat="1" applyFont="1" applyBorder="1"/>
    <xf numFmtId="164" fontId="21" fillId="0" borderId="8" xfId="1" applyNumberFormat="1" applyFont="1" applyBorder="1" applyProtection="1"/>
    <xf numFmtId="164" fontId="21" fillId="0" borderId="34" xfId="1" applyNumberFormat="1" applyFont="1" applyBorder="1" applyProtection="1"/>
    <xf numFmtId="0" fontId="30" fillId="0" borderId="12" xfId="0" applyFont="1" applyBorder="1"/>
    <xf numFmtId="164" fontId="26" fillId="0" borderId="40" xfId="1" applyNumberFormat="1" applyFont="1" applyBorder="1" applyProtection="1"/>
    <xf numFmtId="0" fontId="29" fillId="0" borderId="2" xfId="0" applyFont="1" applyBorder="1"/>
    <xf numFmtId="164" fontId="21" fillId="0" borderId="12" xfId="1" applyNumberFormat="1" applyFont="1" applyBorder="1" applyProtection="1"/>
    <xf numFmtId="0" fontId="30" fillId="0" borderId="2" xfId="0" applyFont="1" applyBorder="1"/>
    <xf numFmtId="165" fontId="29" fillId="0" borderId="2" xfId="2" applyNumberFormat="1" applyFont="1" applyBorder="1" applyProtection="1"/>
    <xf numFmtId="165" fontId="29" fillId="0" borderId="8" xfId="2" applyNumberFormat="1" applyFont="1" applyBorder="1" applyProtection="1"/>
    <xf numFmtId="0" fontId="29" fillId="0" borderId="8" xfId="0" applyFont="1" applyBorder="1"/>
    <xf numFmtId="0" fontId="26" fillId="0" borderId="23" xfId="0" applyFont="1" applyBorder="1"/>
    <xf numFmtId="0" fontId="11" fillId="0" borderId="5" xfId="0" applyFont="1" applyBorder="1"/>
    <xf numFmtId="0" fontId="21" fillId="0" borderId="23" xfId="0" applyFont="1" applyBorder="1"/>
    <xf numFmtId="164" fontId="21" fillId="0" borderId="40" xfId="1" applyNumberFormat="1" applyFont="1" applyBorder="1" applyProtection="1"/>
    <xf numFmtId="0" fontId="21" fillId="0" borderId="12" xfId="0" applyFont="1" applyBorder="1"/>
    <xf numFmtId="0" fontId="16" fillId="0" borderId="5" xfId="0" applyFont="1" applyBorder="1"/>
    <xf numFmtId="0" fontId="5" fillId="0" borderId="5" xfId="0" applyFont="1" applyBorder="1"/>
    <xf numFmtId="0" fontId="13" fillId="0" borderId="5" xfId="0" applyFont="1" applyBorder="1"/>
    <xf numFmtId="0" fontId="13" fillId="0" borderId="7" xfId="0" applyFont="1" applyBorder="1"/>
    <xf numFmtId="0" fontId="21" fillId="0" borderId="8" xfId="0" applyFont="1" applyBorder="1"/>
    <xf numFmtId="0" fontId="33" fillId="0" borderId="5" xfId="0" applyFont="1" applyBorder="1" applyAlignment="1">
      <alignment horizontal="left" indent="1"/>
    </xf>
    <xf numFmtId="43" fontId="33" fillId="0" borderId="2" xfId="1" applyFont="1" applyBorder="1" applyProtection="1"/>
    <xf numFmtId="43" fontId="33" fillId="0" borderId="42" xfId="1" applyFont="1" applyBorder="1" applyProtection="1"/>
    <xf numFmtId="0" fontId="33" fillId="0" borderId="51" xfId="0" applyFont="1" applyBorder="1" applyAlignment="1">
      <alignment horizontal="left" indent="1"/>
    </xf>
    <xf numFmtId="0" fontId="33" fillId="0" borderId="52" xfId="0" applyFont="1" applyBorder="1"/>
    <xf numFmtId="43" fontId="33" fillId="0" borderId="52" xfId="1" applyFont="1" applyBorder="1" applyProtection="1"/>
    <xf numFmtId="43" fontId="33" fillId="0" borderId="36" xfId="1" applyFont="1" applyBorder="1" applyProtection="1"/>
    <xf numFmtId="0" fontId="21" fillId="0" borderId="51" xfId="0" applyFont="1" applyBorder="1"/>
    <xf numFmtId="0" fontId="21" fillId="0" borderId="52" xfId="0" applyFont="1" applyBorder="1"/>
    <xf numFmtId="164" fontId="21" fillId="0" borderId="52" xfId="1" applyNumberFormat="1" applyFont="1" applyBorder="1" applyProtection="1"/>
    <xf numFmtId="164" fontId="21" fillId="0" borderId="36" xfId="1" applyNumberFormat="1" applyFont="1" applyBorder="1" applyProtection="1"/>
    <xf numFmtId="0" fontId="26" fillId="2" borderId="3" xfId="0" applyFont="1" applyFill="1" applyBorder="1"/>
    <xf numFmtId="0" fontId="30" fillId="2" borderId="4" xfId="0" applyFont="1" applyFill="1" applyBorder="1" applyAlignment="1">
      <alignment horizontal="right"/>
    </xf>
    <xf numFmtId="0" fontId="26" fillId="2" borderId="4" xfId="0" applyFont="1" applyFill="1" applyBorder="1" applyAlignment="1">
      <alignment horizontal="right"/>
    </xf>
    <xf numFmtId="0" fontId="26" fillId="2" borderId="65" xfId="0" applyFont="1" applyFill="1" applyBorder="1" applyAlignment="1">
      <alignment horizontal="right"/>
    </xf>
    <xf numFmtId="10" fontId="29" fillId="0" borderId="12" xfId="0" applyNumberFormat="1" applyFont="1" applyBorder="1"/>
    <xf numFmtId="0" fontId="26" fillId="6" borderId="23" xfId="0" applyFont="1" applyFill="1" applyBorder="1"/>
    <xf numFmtId="0" fontId="30" fillId="6" borderId="4" xfId="0" applyFont="1" applyFill="1" applyBorder="1" applyAlignment="1">
      <alignment horizontal="right"/>
    </xf>
    <xf numFmtId="0" fontId="26" fillId="6" borderId="4" xfId="0" applyFont="1" applyFill="1" applyBorder="1" applyAlignment="1">
      <alignment horizontal="right"/>
    </xf>
    <xf numFmtId="0" fontId="26" fillId="6" borderId="65" xfId="0" applyFont="1" applyFill="1" applyBorder="1" applyAlignment="1">
      <alignment horizontal="right"/>
    </xf>
    <xf numFmtId="10" fontId="29" fillId="0" borderId="49" xfId="0" applyNumberFormat="1" applyFont="1" applyBorder="1"/>
    <xf numFmtId="164" fontId="26" fillId="0" borderId="49" xfId="1" applyNumberFormat="1" applyFont="1" applyBorder="1" applyProtection="1"/>
    <xf numFmtId="164" fontId="26" fillId="0" borderId="72" xfId="1" applyNumberFormat="1" applyFont="1" applyBorder="1" applyProtection="1"/>
    <xf numFmtId="0" fontId="26" fillId="6" borderId="3" xfId="0" applyFont="1" applyFill="1" applyBorder="1"/>
    <xf numFmtId="0" fontId="1" fillId="0" borderId="5" xfId="0" applyFont="1" applyBorder="1"/>
    <xf numFmtId="0" fontId="1" fillId="0" borderId="51" xfId="0" applyFont="1" applyBorder="1"/>
    <xf numFmtId="10" fontId="29" fillId="0" borderId="52" xfId="0" applyNumberFormat="1" applyFont="1" applyBorder="1"/>
    <xf numFmtId="0" fontId="1" fillId="0" borderId="7" xfId="0" applyFont="1" applyBorder="1"/>
    <xf numFmtId="0" fontId="26" fillId="0" borderId="3" xfId="0" applyFont="1" applyBorder="1"/>
    <xf numFmtId="0" fontId="0" fillId="0" borderId="4" xfId="0" applyBorder="1"/>
    <xf numFmtId="0" fontId="0" fillId="0" borderId="65" xfId="0" applyBorder="1"/>
    <xf numFmtId="164" fontId="0" fillId="0" borderId="2" xfId="0" applyNumberFormat="1" applyBorder="1" applyAlignment="1">
      <alignment shrinkToFit="1"/>
    </xf>
    <xf numFmtId="0" fontId="0" fillId="0" borderId="42" xfId="0" applyBorder="1"/>
    <xf numFmtId="0" fontId="0" fillId="0" borderId="2" xfId="0" applyBorder="1" applyAlignment="1">
      <alignment shrinkToFit="1"/>
    </xf>
    <xf numFmtId="164" fontId="0" fillId="0" borderId="42" xfId="0" applyNumberFormat="1" applyBorder="1"/>
    <xf numFmtId="164" fontId="0" fillId="0" borderId="2" xfId="1" applyNumberFormat="1" applyFont="1" applyBorder="1" applyProtection="1"/>
    <xf numFmtId="164" fontId="0" fillId="0" borderId="42" xfId="1" applyNumberFormat="1" applyFont="1" applyBorder="1" applyProtection="1"/>
    <xf numFmtId="10" fontId="0" fillId="0" borderId="8" xfId="0" applyNumberFormat="1" applyBorder="1"/>
    <xf numFmtId="0" fontId="0" fillId="0" borderId="34" xfId="0" applyBorder="1"/>
    <xf numFmtId="0" fontId="26" fillId="7" borderId="2" xfId="0" applyFont="1" applyFill="1" applyBorder="1" applyProtection="1">
      <protection locked="0"/>
    </xf>
    <xf numFmtId="0" fontId="1" fillId="0" borderId="14" xfId="0" applyFont="1" applyBorder="1"/>
    <xf numFmtId="0" fontId="40" fillId="0" borderId="73" xfId="12" applyFont="1" applyBorder="1" applyAlignment="1">
      <alignment horizontal="left"/>
    </xf>
    <xf numFmtId="0" fontId="1" fillId="0" borderId="0" xfId="12"/>
    <xf numFmtId="0" fontId="37" fillId="0" borderId="0" xfId="0" applyFont="1" applyAlignment="1">
      <alignment horizontal="right" vertical="center" wrapText="1"/>
    </xf>
    <xf numFmtId="164" fontId="34" fillId="7" borderId="2" xfId="1" applyNumberFormat="1" applyFont="1" applyFill="1" applyBorder="1" applyAlignment="1" applyProtection="1">
      <protection locked="0"/>
    </xf>
    <xf numFmtId="164" fontId="34" fillId="7" borderId="11" xfId="1" applyNumberFormat="1" applyFont="1" applyFill="1" applyBorder="1" applyAlignment="1" applyProtection="1">
      <alignment horizontal="center"/>
      <protection locked="0"/>
    </xf>
    <xf numFmtId="0" fontId="39" fillId="0" borderId="35" xfId="0" applyFont="1" applyBorder="1" applyAlignment="1">
      <alignment horizontal="right" wrapText="1"/>
    </xf>
    <xf numFmtId="0" fontId="52" fillId="0" borderId="0" xfId="12" applyFont="1"/>
    <xf numFmtId="0" fontId="70" fillId="0" borderId="0" xfId="0" applyFont="1"/>
    <xf numFmtId="0" fontId="70" fillId="0" borderId="0" xfId="0" applyFont="1" applyAlignment="1">
      <alignment horizontal="left" vertical="center"/>
    </xf>
    <xf numFmtId="0" fontId="70" fillId="0" borderId="0" xfId="0" applyFont="1" applyAlignment="1">
      <alignment horizontal="left"/>
    </xf>
    <xf numFmtId="0" fontId="5" fillId="7" borderId="2" xfId="0" applyFont="1" applyFill="1" applyBorder="1" applyProtection="1">
      <protection locked="0"/>
    </xf>
    <xf numFmtId="0" fontId="39" fillId="3" borderId="65" xfId="0" applyFont="1" applyFill="1" applyBorder="1"/>
    <xf numFmtId="0" fontId="5" fillId="0" borderId="8" xfId="0" applyFont="1" applyBorder="1"/>
    <xf numFmtId="0" fontId="34" fillId="7" borderId="2" xfId="0" applyFont="1" applyFill="1" applyBorder="1" applyProtection="1">
      <protection locked="0"/>
    </xf>
    <xf numFmtId="37" fontId="16" fillId="7" borderId="2" xfId="1" applyNumberFormat="1" applyFont="1" applyFill="1" applyBorder="1" applyProtection="1">
      <protection locked="0"/>
    </xf>
    <xf numFmtId="0" fontId="1" fillId="0" borderId="0" xfId="0" applyFont="1" applyAlignment="1">
      <alignment vertical="center"/>
    </xf>
    <xf numFmtId="0" fontId="27" fillId="3" borderId="12" xfId="0" applyFont="1" applyFill="1" applyBorder="1" applyAlignment="1">
      <alignment horizontal="left"/>
    </xf>
    <xf numFmtId="10" fontId="34" fillId="7" borderId="6" xfId="0" applyNumberFormat="1" applyFont="1" applyFill="1" applyBorder="1" applyProtection="1">
      <protection locked="0"/>
    </xf>
    <xf numFmtId="0" fontId="1" fillId="0" borderId="0" xfId="0" applyFont="1" applyAlignment="1">
      <alignment horizontal="right" vertical="center"/>
    </xf>
    <xf numFmtId="0" fontId="1" fillId="7" borderId="2" xfId="12" applyFill="1" applyBorder="1" applyProtection="1">
      <protection locked="0"/>
    </xf>
    <xf numFmtId="0" fontId="1" fillId="0" borderId="2" xfId="12" applyBorder="1" applyProtection="1">
      <protection locked="0"/>
    </xf>
    <xf numFmtId="9" fontId="1" fillId="0" borderId="2" xfId="2" applyFont="1" applyBorder="1" applyProtection="1">
      <protection locked="0"/>
    </xf>
    <xf numFmtId="37" fontId="1" fillId="7" borderId="2" xfId="12" applyNumberFormat="1" applyFill="1" applyBorder="1" applyProtection="1">
      <protection locked="0"/>
    </xf>
    <xf numFmtId="38" fontId="1" fillId="7" borderId="2" xfId="12" applyNumberFormat="1" applyFill="1" applyBorder="1" applyProtection="1">
      <protection locked="0"/>
    </xf>
    <xf numFmtId="0" fontId="1" fillId="0" borderId="0" xfId="0" applyFont="1" applyAlignment="1" applyProtection="1">
      <alignment horizontal="right" vertical="center" wrapText="1"/>
      <protection locked="0"/>
    </xf>
    <xf numFmtId="0" fontId="1" fillId="7" borderId="10" xfId="0" applyFont="1" applyFill="1" applyBorder="1" applyAlignment="1" applyProtection="1">
      <alignment vertical="center" wrapText="1"/>
      <protection locked="0"/>
    </xf>
    <xf numFmtId="0" fontId="1" fillId="13" borderId="10" xfId="0" applyFont="1" applyFill="1" applyBorder="1" applyAlignment="1" applyProtection="1">
      <alignment horizontal="right" vertical="center" wrapText="1"/>
      <protection locked="0"/>
    </xf>
    <xf numFmtId="0" fontId="47" fillId="0" borderId="0" xfId="0" applyFont="1"/>
    <xf numFmtId="176" fontId="0" fillId="0" borderId="0" xfId="0" applyNumberFormat="1"/>
    <xf numFmtId="176" fontId="68" fillId="0" borderId="0" xfId="11" applyNumberFormat="1"/>
    <xf numFmtId="0" fontId="1" fillId="7" borderId="10" xfId="0" applyFon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0" fontId="1" fillId="7" borderId="1" xfId="0" applyFont="1" applyFill="1" applyBorder="1" applyAlignment="1" applyProtection="1">
      <alignment horizontal="center"/>
      <protection locked="0"/>
    </xf>
    <xf numFmtId="0" fontId="1" fillId="0" borderId="0" xfId="0" applyFont="1" applyAlignment="1" applyProtection="1">
      <alignment horizontal="right"/>
      <protection locked="0"/>
    </xf>
    <xf numFmtId="0" fontId="1" fillId="0" borderId="0" xfId="0" applyFont="1" applyProtection="1">
      <protection locked="0"/>
    </xf>
    <xf numFmtId="0" fontId="1" fillId="0" borderId="2" xfId="0" applyFont="1" applyBorder="1" applyAlignment="1" applyProtection="1">
      <alignment horizontal="left" wrapText="1"/>
      <protection locked="0"/>
    </xf>
    <xf numFmtId="0" fontId="1" fillId="0" borderId="2" xfId="0" applyFont="1" applyBorder="1" applyAlignment="1" applyProtection="1">
      <alignment wrapText="1"/>
      <protection locked="0"/>
    </xf>
    <xf numFmtId="0" fontId="1" fillId="0" borderId="2" xfId="0" applyFont="1" applyBorder="1" applyAlignment="1">
      <alignment wrapText="1"/>
    </xf>
    <xf numFmtId="176" fontId="1" fillId="0" borderId="2" xfId="0" applyNumberFormat="1" applyFont="1" applyBorder="1" applyAlignment="1" applyProtection="1">
      <alignment horizontal="left" wrapText="1"/>
      <protection locked="0"/>
    </xf>
    <xf numFmtId="176" fontId="69" fillId="0" borderId="2" xfId="11" applyNumberFormat="1" applyFont="1" applyBorder="1" applyAlignment="1" applyProtection="1">
      <alignment horizontal="left" wrapText="1"/>
      <protection locked="0"/>
    </xf>
    <xf numFmtId="38" fontId="1" fillId="0" borderId="2" xfId="0" applyNumberFormat="1" applyFont="1" applyBorder="1" applyAlignment="1" applyProtection="1">
      <alignment horizontal="left" wrapText="1"/>
      <protection locked="0"/>
    </xf>
    <xf numFmtId="3" fontId="1" fillId="0" borderId="2" xfId="0" applyNumberFormat="1" applyFont="1" applyBorder="1" applyAlignment="1" applyProtection="1">
      <alignment horizontal="left" wrapText="1"/>
      <protection locked="0"/>
    </xf>
    <xf numFmtId="1" fontId="1" fillId="0" borderId="2" xfId="0" applyNumberFormat="1" applyFont="1" applyBorder="1" applyAlignment="1" applyProtection="1">
      <alignment horizontal="left" wrapText="1"/>
      <protection locked="0"/>
    </xf>
    <xf numFmtId="2" fontId="1" fillId="0" borderId="2" xfId="0" applyNumberFormat="1" applyFont="1" applyBorder="1" applyAlignment="1" applyProtection="1">
      <alignment horizontal="left" wrapText="1"/>
      <protection locked="0"/>
    </xf>
    <xf numFmtId="0" fontId="27" fillId="15" borderId="52" xfId="0" applyFont="1" applyFill="1" applyBorder="1" applyAlignment="1">
      <alignment horizontal="center" vertical="center" wrapText="1"/>
    </xf>
    <xf numFmtId="176" fontId="27" fillId="15" borderId="52" xfId="0" applyNumberFormat="1" applyFont="1" applyFill="1" applyBorder="1" applyAlignment="1">
      <alignment horizontal="center" vertical="center" wrapText="1"/>
    </xf>
    <xf numFmtId="0" fontId="1" fillId="7" borderId="2" xfId="0" applyFont="1" applyFill="1" applyBorder="1" applyAlignment="1" applyProtection="1">
      <alignment horizontal="left" wrapText="1"/>
      <protection locked="0"/>
    </xf>
    <xf numFmtId="2" fontId="1" fillId="7" borderId="2" xfId="0" applyNumberFormat="1" applyFont="1" applyFill="1" applyBorder="1" applyAlignment="1" applyProtection="1">
      <alignment horizontal="left" wrapText="1"/>
      <protection locked="0"/>
    </xf>
    <xf numFmtId="9" fontId="1" fillId="7" borderId="2" xfId="0" applyNumberFormat="1" applyFont="1" applyFill="1" applyBorder="1" applyAlignment="1" applyProtection="1">
      <alignment horizontal="left" wrapText="1"/>
      <protection locked="0"/>
    </xf>
    <xf numFmtId="0" fontId="71" fillId="15" borderId="52" xfId="0" applyFont="1" applyFill="1" applyBorder="1" applyAlignment="1">
      <alignment horizontal="center" vertical="center" wrapText="1"/>
    </xf>
    <xf numFmtId="176" fontId="71" fillId="15" borderId="52" xfId="0" applyNumberFormat="1" applyFont="1" applyFill="1" applyBorder="1" applyAlignment="1">
      <alignment horizontal="center" vertical="center" wrapText="1"/>
    </xf>
    <xf numFmtId="3" fontId="71" fillId="15" borderId="52" xfId="0" applyNumberFormat="1" applyFont="1" applyFill="1" applyBorder="1" applyAlignment="1">
      <alignment horizontal="center" vertical="center" wrapText="1"/>
    </xf>
    <xf numFmtId="1" fontId="71" fillId="15" borderId="52" xfId="0" applyNumberFormat="1" applyFont="1" applyFill="1" applyBorder="1" applyAlignment="1">
      <alignment horizontal="center" vertical="center" wrapText="1"/>
    </xf>
    <xf numFmtId="2" fontId="71" fillId="15" borderId="52" xfId="0" applyNumberFormat="1" applyFont="1" applyFill="1" applyBorder="1" applyAlignment="1">
      <alignment horizontal="center" vertical="center" wrapText="1"/>
    </xf>
    <xf numFmtId="49" fontId="71" fillId="15" borderId="52" xfId="0" applyNumberFormat="1" applyFont="1" applyFill="1" applyBorder="1" applyAlignment="1">
      <alignment horizontal="center" vertical="center" wrapText="1"/>
    </xf>
    <xf numFmtId="0" fontId="1" fillId="7" borderId="11" xfId="0" applyFont="1" applyFill="1" applyBorder="1" applyAlignment="1" applyProtection="1">
      <alignment horizontal="left" wrapText="1"/>
      <protection locked="0"/>
    </xf>
    <xf numFmtId="0" fontId="0" fillId="0" borderId="37" xfId="0" applyBorder="1"/>
    <xf numFmtId="0" fontId="51" fillId="0" borderId="0" xfId="0" applyFont="1"/>
    <xf numFmtId="0" fontId="40" fillId="0" borderId="0" xfId="1" applyNumberFormat="1" applyFont="1" applyFill="1" applyBorder="1" applyProtection="1"/>
    <xf numFmtId="0" fontId="51" fillId="0" borderId="0" xfId="0" applyFont="1" applyAlignment="1">
      <alignment horizontal="left" vertical="center"/>
    </xf>
    <xf numFmtId="0" fontId="40" fillId="0" borderId="0" xfId="0" applyFont="1"/>
    <xf numFmtId="0" fontId="51" fillId="0" borderId="0" xfId="0" applyFont="1" applyAlignment="1">
      <alignment horizontal="left"/>
    </xf>
    <xf numFmtId="176" fontId="1" fillId="7" borderId="2" xfId="0" applyNumberFormat="1" applyFont="1" applyFill="1" applyBorder="1" applyAlignment="1" applyProtection="1">
      <alignment wrapText="1"/>
      <protection locked="0"/>
    </xf>
    <xf numFmtId="169" fontId="1" fillId="7" borderId="2" xfId="0" applyNumberFormat="1" applyFont="1" applyFill="1" applyBorder="1" applyAlignment="1" applyProtection="1">
      <alignment wrapText="1"/>
      <protection locked="0"/>
    </xf>
    <xf numFmtId="0" fontId="1" fillId="7" borderId="2" xfId="0" applyFont="1" applyFill="1" applyBorder="1" applyAlignment="1" applyProtection="1">
      <alignment wrapText="1"/>
      <protection locked="0"/>
    </xf>
    <xf numFmtId="0" fontId="71" fillId="15" borderId="38" xfId="0" applyFont="1" applyFill="1" applyBorder="1" applyAlignment="1">
      <alignment horizontal="center" vertical="center" wrapText="1"/>
    </xf>
    <xf numFmtId="0" fontId="71" fillId="15" borderId="77" xfId="0" applyFont="1" applyFill="1" applyBorder="1" applyAlignment="1">
      <alignment horizontal="center" vertical="center" wrapText="1"/>
    </xf>
    <xf numFmtId="0" fontId="1" fillId="7" borderId="76" xfId="0" applyFont="1" applyFill="1" applyBorder="1" applyAlignment="1" applyProtection="1">
      <alignment horizontal="left" wrapText="1"/>
      <protection locked="0"/>
    </xf>
    <xf numFmtId="176" fontId="27" fillId="15" borderId="75" xfId="0" applyNumberFormat="1" applyFont="1" applyFill="1" applyBorder="1" applyAlignment="1">
      <alignment horizontal="center" vertical="center" wrapText="1"/>
    </xf>
    <xf numFmtId="176" fontId="1" fillId="7" borderId="74" xfId="0" applyNumberFormat="1" applyFont="1" applyFill="1" applyBorder="1" applyAlignment="1" applyProtection="1">
      <alignment wrapText="1"/>
      <protection locked="0"/>
    </xf>
    <xf numFmtId="0" fontId="47" fillId="15" borderId="38" xfId="0" applyFont="1" applyFill="1" applyBorder="1" applyAlignment="1">
      <alignment horizontal="center" vertical="center" wrapText="1"/>
    </xf>
    <xf numFmtId="0" fontId="47" fillId="15" borderId="52" xfId="0" applyFont="1" applyFill="1" applyBorder="1" applyAlignment="1">
      <alignment horizontal="center" vertical="center" wrapText="1"/>
    </xf>
    <xf numFmtId="176" fontId="47" fillId="15" borderId="52" xfId="0" applyNumberFormat="1" applyFont="1" applyFill="1" applyBorder="1" applyAlignment="1">
      <alignment horizontal="center" vertical="center" wrapText="1"/>
    </xf>
    <xf numFmtId="3" fontId="47" fillId="15" borderId="52" xfId="0" applyNumberFormat="1" applyFont="1" applyFill="1" applyBorder="1" applyAlignment="1">
      <alignment horizontal="center" vertical="center" wrapText="1"/>
    </xf>
    <xf numFmtId="1" fontId="47" fillId="15" borderId="52" xfId="0" applyNumberFormat="1" applyFont="1" applyFill="1" applyBorder="1" applyAlignment="1">
      <alignment horizontal="center" vertical="center" wrapText="1"/>
    </xf>
    <xf numFmtId="2" fontId="47" fillId="15" borderId="52" xfId="0" applyNumberFormat="1" applyFont="1" applyFill="1" applyBorder="1" applyAlignment="1">
      <alignment horizontal="center" vertical="center" wrapText="1"/>
    </xf>
    <xf numFmtId="49" fontId="47" fillId="15" borderId="52" xfId="0" applyNumberFormat="1" applyFont="1" applyFill="1" applyBorder="1" applyAlignment="1">
      <alignment horizontal="center" vertical="center" wrapText="1"/>
    </xf>
    <xf numFmtId="0" fontId="57" fillId="6" borderId="11" xfId="8" applyFont="1" applyFill="1" applyBorder="1" applyAlignment="1">
      <alignment horizontal="left" wrapText="1"/>
    </xf>
    <xf numFmtId="0" fontId="57" fillId="6" borderId="52" xfId="8" applyFont="1" applyFill="1" applyBorder="1" applyAlignment="1">
      <alignment horizontal="center" vertical="center" wrapText="1"/>
    </xf>
    <xf numFmtId="1" fontId="39" fillId="7" borderId="1" xfId="0" applyNumberFormat="1" applyFont="1" applyFill="1" applyBorder="1" applyAlignment="1" applyProtection="1">
      <alignment horizontal="left"/>
      <protection locked="0"/>
    </xf>
    <xf numFmtId="1" fontId="1" fillId="0" borderId="0" xfId="12" applyNumberFormat="1"/>
    <xf numFmtId="0" fontId="1" fillId="0" borderId="0" xfId="13"/>
    <xf numFmtId="0" fontId="1" fillId="0" borderId="0" xfId="13" applyAlignment="1">
      <alignment vertical="center"/>
    </xf>
    <xf numFmtId="0" fontId="57" fillId="7" borderId="11" xfId="8" applyFont="1" applyFill="1" applyBorder="1" applyAlignment="1">
      <alignment horizontal="left" wrapText="1"/>
    </xf>
    <xf numFmtId="14" fontId="57" fillId="7" borderId="2" xfId="8" applyNumberFormat="1" applyFont="1" applyFill="1" applyBorder="1" applyAlignment="1">
      <alignment horizontal="center" wrapText="1"/>
    </xf>
    <xf numFmtId="164" fontId="34" fillId="7" borderId="11" xfId="1" applyNumberFormat="1" applyFont="1" applyFill="1" applyBorder="1" applyAlignment="1">
      <alignment horizontal="left"/>
    </xf>
    <xf numFmtId="174" fontId="1" fillId="0" borderId="0" xfId="13" applyNumberFormat="1"/>
    <xf numFmtId="3" fontId="1" fillId="0" borderId="0" xfId="13" applyNumberFormat="1"/>
    <xf numFmtId="37" fontId="1" fillId="0" borderId="0" xfId="13" applyNumberFormat="1"/>
    <xf numFmtId="1" fontId="0" fillId="0" borderId="0" xfId="0" applyNumberFormat="1"/>
    <xf numFmtId="38" fontId="57" fillId="0" borderId="12" xfId="8" applyNumberFormat="1" applyFont="1" applyBorder="1"/>
    <xf numFmtId="164" fontId="41" fillId="7" borderId="2" xfId="1" applyNumberFormat="1" applyFont="1" applyFill="1" applyBorder="1" applyAlignment="1" applyProtection="1">
      <alignment horizontal="center"/>
      <protection locked="0"/>
    </xf>
    <xf numFmtId="164" fontId="41" fillId="7" borderId="6" xfId="1" applyNumberFormat="1" applyFont="1" applyFill="1" applyBorder="1" applyAlignment="1" applyProtection="1">
      <alignment horizontal="center"/>
      <protection locked="0"/>
    </xf>
    <xf numFmtId="0" fontId="1" fillId="16" borderId="2" xfId="12" applyFill="1" applyBorder="1" applyProtection="1">
      <protection locked="0"/>
    </xf>
    <xf numFmtId="14" fontId="1" fillId="16" borderId="2" xfId="12" applyNumberFormat="1" applyFill="1" applyBorder="1" applyProtection="1">
      <protection locked="0"/>
    </xf>
    <xf numFmtId="0" fontId="0" fillId="7" borderId="1" xfId="0" applyFill="1" applyBorder="1" applyAlignment="1" applyProtection="1">
      <alignment horizontal="center"/>
      <protection locked="0"/>
    </xf>
    <xf numFmtId="0" fontId="1" fillId="7" borderId="19" xfId="0" applyFont="1" applyFill="1" applyBorder="1" applyAlignment="1" applyProtection="1">
      <alignment horizontal="center" vertical="center" wrapText="1"/>
      <protection locked="0"/>
    </xf>
    <xf numFmtId="0" fontId="1" fillId="7" borderId="10" xfId="0" applyFont="1" applyFill="1" applyBorder="1" applyAlignment="1" applyProtection="1">
      <alignment horizontal="center" vertical="center" wrapText="1"/>
      <protection locked="0"/>
    </xf>
    <xf numFmtId="0" fontId="1" fillId="0" borderId="0" xfId="0" applyFont="1" applyAlignment="1">
      <alignment horizontal="left" vertical="center"/>
    </xf>
    <xf numFmtId="0" fontId="52" fillId="0" borderId="28" xfId="0" applyFont="1" applyBorder="1" applyAlignment="1">
      <alignment horizontal="left" vertical="center" wrapText="1"/>
    </xf>
    <xf numFmtId="0" fontId="52" fillId="0" borderId="29" xfId="0" applyFont="1" applyBorder="1" applyAlignment="1">
      <alignment horizontal="left" vertical="center" wrapText="1"/>
    </xf>
    <xf numFmtId="0" fontId="52" fillId="0" borderId="30" xfId="0" applyFont="1" applyBorder="1" applyAlignment="1">
      <alignment horizontal="left" vertical="center" wrapText="1"/>
    </xf>
    <xf numFmtId="0" fontId="52" fillId="0" borderId="20" xfId="0" applyFont="1" applyBorder="1" applyAlignment="1">
      <alignment horizontal="left" vertical="center" wrapText="1"/>
    </xf>
    <xf numFmtId="0" fontId="52" fillId="0" borderId="0" xfId="0" applyFont="1" applyAlignment="1">
      <alignment horizontal="left" vertical="center" wrapText="1"/>
    </xf>
    <xf numFmtId="0" fontId="52" fillId="0" borderId="31" xfId="0" applyFont="1" applyBorder="1" applyAlignment="1">
      <alignment horizontal="left" vertical="center" wrapText="1"/>
    </xf>
    <xf numFmtId="0" fontId="52" fillId="0" borderId="32" xfId="0" applyFont="1" applyBorder="1" applyAlignment="1">
      <alignment horizontal="left" vertical="center" wrapText="1"/>
    </xf>
    <xf numFmtId="0" fontId="52" fillId="0" borderId="21" xfId="0" applyFont="1" applyBorder="1" applyAlignment="1">
      <alignment horizontal="left" vertical="center" wrapText="1"/>
    </xf>
    <xf numFmtId="0" fontId="52" fillId="0" borderId="33" xfId="0" applyFont="1" applyBorder="1" applyAlignment="1">
      <alignment horizontal="left" vertical="center" wrapText="1"/>
    </xf>
    <xf numFmtId="0" fontId="1" fillId="0" borderId="0" xfId="0" applyFont="1" applyAlignment="1">
      <alignment horizontal="left"/>
    </xf>
    <xf numFmtId="0" fontId="1" fillId="0" borderId="29" xfId="0" applyFont="1" applyBorder="1" applyAlignment="1">
      <alignment horizontal="left" vertical="center"/>
    </xf>
    <xf numFmtId="0" fontId="2" fillId="0" borderId="42" xfId="0" applyFont="1" applyBorder="1"/>
    <xf numFmtId="0" fontId="2" fillId="0" borderId="11" xfId="0" applyFont="1" applyBorder="1"/>
    <xf numFmtId="0" fontId="26" fillId="0" borderId="42" xfId="1" applyNumberFormat="1" applyFont="1" applyFill="1" applyBorder="1" applyAlignment="1" applyProtection="1">
      <alignment horizontal="center"/>
    </xf>
    <xf numFmtId="0" fontId="26" fillId="0" borderId="10" xfId="1" applyNumberFormat="1" applyFont="1" applyFill="1" applyBorder="1" applyAlignment="1" applyProtection="1">
      <alignment horizontal="center"/>
    </xf>
    <xf numFmtId="0" fontId="26" fillId="0" borderId="11" xfId="1" applyNumberFormat="1" applyFont="1" applyFill="1" applyBorder="1" applyAlignment="1" applyProtection="1">
      <alignment horizontal="center"/>
    </xf>
    <xf numFmtId="0" fontId="26" fillId="0" borderId="14" xfId="0" applyFont="1" applyBorder="1" applyAlignment="1">
      <alignment horizontal="left"/>
    </xf>
    <xf numFmtId="0" fontId="26" fillId="0" borderId="10" xfId="0" applyFont="1" applyBorder="1" applyAlignment="1">
      <alignment horizontal="left"/>
    </xf>
    <xf numFmtId="0" fontId="26" fillId="0" borderId="11" xfId="0" applyFont="1" applyBorder="1" applyAlignment="1">
      <alignment horizontal="left"/>
    </xf>
    <xf numFmtId="0" fontId="26" fillId="0" borderId="2" xfId="0" applyFont="1" applyBorder="1" applyAlignment="1">
      <alignment horizontal="left"/>
    </xf>
    <xf numFmtId="0" fontId="2" fillId="0" borderId="2" xfId="0" applyFont="1" applyBorder="1" applyAlignment="1">
      <alignment horizontal="left"/>
    </xf>
    <xf numFmtId="0" fontId="16" fillId="0" borderId="2" xfId="0" applyFont="1" applyBorder="1" applyAlignment="1">
      <alignment horizontal="left"/>
    </xf>
    <xf numFmtId="0" fontId="5" fillId="0" borderId="14" xfId="0" applyFont="1" applyBorder="1" applyAlignment="1">
      <alignment horizontal="left"/>
    </xf>
    <xf numFmtId="0" fontId="5" fillId="0" borderId="10" xfId="0" applyFont="1" applyBorder="1" applyAlignment="1">
      <alignment horizontal="left"/>
    </xf>
    <xf numFmtId="0" fontId="5" fillId="0" borderId="11" xfId="0" applyFont="1" applyBorder="1" applyAlignment="1">
      <alignment horizontal="left"/>
    </xf>
    <xf numFmtId="0" fontId="5" fillId="0" borderId="2" xfId="0" applyFont="1" applyBorder="1" applyAlignment="1">
      <alignment horizontal="left"/>
    </xf>
    <xf numFmtId="0" fontId="20" fillId="0" borderId="5" xfId="0" applyFont="1" applyBorder="1" applyAlignment="1">
      <alignment horizontal="left"/>
    </xf>
    <xf numFmtId="0" fontId="20" fillId="0" borderId="2" xfId="0" applyFont="1" applyBorder="1" applyAlignment="1">
      <alignment horizontal="left"/>
    </xf>
    <xf numFmtId="0" fontId="20" fillId="0" borderId="6" xfId="0" applyFont="1" applyBorder="1" applyAlignment="1">
      <alignment horizontal="left"/>
    </xf>
    <xf numFmtId="0" fontId="26" fillId="0" borderId="5" xfId="0" applyFont="1" applyBorder="1" applyAlignment="1">
      <alignment horizontal="left"/>
    </xf>
    <xf numFmtId="0" fontId="26" fillId="0" borderId="42" xfId="0" applyFont="1" applyBorder="1" applyAlignment="1">
      <alignment horizontal="left"/>
    </xf>
    <xf numFmtId="0" fontId="4" fillId="0" borderId="14" xfId="0" applyFont="1" applyBorder="1" applyAlignment="1">
      <alignment horizontal="left"/>
    </xf>
    <xf numFmtId="0" fontId="16" fillId="0" borderId="10" xfId="0" applyFont="1" applyBorder="1" applyAlignment="1">
      <alignment horizontal="left"/>
    </xf>
    <xf numFmtId="0" fontId="16" fillId="0" borderId="11" xfId="0" applyFont="1" applyBorder="1" applyAlignment="1">
      <alignment horizontal="left"/>
    </xf>
    <xf numFmtId="0" fontId="26" fillId="0" borderId="29" xfId="1" applyNumberFormat="1" applyFont="1" applyBorder="1" applyAlignment="1" applyProtection="1">
      <alignment horizontal="center"/>
    </xf>
    <xf numFmtId="0" fontId="26" fillId="0" borderId="30" xfId="1" applyNumberFormat="1" applyFont="1" applyBorder="1" applyAlignment="1" applyProtection="1">
      <alignment horizontal="center"/>
    </xf>
    <xf numFmtId="0" fontId="26" fillId="0" borderId="3" xfId="1" applyNumberFormat="1" applyFont="1" applyBorder="1" applyAlignment="1" applyProtection="1">
      <alignment horizontal="center"/>
    </xf>
    <xf numFmtId="0" fontId="26" fillId="0" borderId="4" xfId="1" applyNumberFormat="1" applyFont="1" applyBorder="1" applyAlignment="1" applyProtection="1">
      <alignment horizontal="center"/>
    </xf>
    <xf numFmtId="0" fontId="26" fillId="0" borderId="13" xfId="1" applyNumberFormat="1" applyFont="1" applyBorder="1" applyAlignment="1" applyProtection="1">
      <alignment horizontal="center"/>
    </xf>
    <xf numFmtId="0" fontId="16" fillId="0" borderId="14" xfId="0" applyFont="1" applyBorder="1" applyAlignment="1">
      <alignment horizontal="left"/>
    </xf>
    <xf numFmtId="0" fontId="26" fillId="0" borderId="14" xfId="0" applyFont="1" applyBorder="1" applyAlignment="1">
      <alignment horizontal="center"/>
    </xf>
    <xf numFmtId="0" fontId="26" fillId="0" borderId="10" xfId="0" applyFont="1" applyBorder="1" applyAlignment="1">
      <alignment horizontal="center"/>
    </xf>
    <xf numFmtId="0" fontId="26" fillId="0" borderId="11" xfId="0" applyFont="1" applyBorder="1" applyAlignment="1">
      <alignment horizontal="center"/>
    </xf>
    <xf numFmtId="0" fontId="20" fillId="0" borderId="7" xfId="0" applyFont="1" applyBorder="1" applyAlignment="1">
      <alignment horizontal="left"/>
    </xf>
    <xf numFmtId="0" fontId="20" fillId="0" borderId="8" xfId="0" applyFont="1" applyBorder="1" applyAlignment="1">
      <alignment horizontal="left"/>
    </xf>
    <xf numFmtId="0" fontId="20" fillId="0" borderId="9" xfId="0" applyFont="1" applyBorder="1" applyAlignment="1">
      <alignment horizontal="left"/>
    </xf>
    <xf numFmtId="0" fontId="11" fillId="13" borderId="5" xfId="0" applyFont="1" applyFill="1" applyBorder="1" applyAlignment="1">
      <alignment horizontal="left"/>
    </xf>
    <xf numFmtId="0" fontId="16" fillId="13" borderId="2" xfId="0" applyFont="1" applyFill="1" applyBorder="1" applyAlignment="1">
      <alignment horizontal="left"/>
    </xf>
    <xf numFmtId="0" fontId="16" fillId="13" borderId="5" xfId="0" applyFont="1" applyFill="1" applyBorder="1" applyAlignment="1">
      <alignment horizontal="left"/>
    </xf>
    <xf numFmtId="0" fontId="31" fillId="7" borderId="1" xfId="0" applyFont="1" applyFill="1" applyBorder="1" applyAlignment="1" applyProtection="1">
      <alignment horizontal="left"/>
      <protection locked="0"/>
    </xf>
    <xf numFmtId="0" fontId="31" fillId="7" borderId="10" xfId="0" applyFont="1" applyFill="1" applyBorder="1" applyAlignment="1" applyProtection="1">
      <alignment horizontal="left"/>
      <protection locked="0"/>
    </xf>
    <xf numFmtId="0" fontId="31" fillId="7" borderId="37" xfId="0" applyFont="1" applyFill="1" applyBorder="1" applyAlignment="1" applyProtection="1">
      <alignment horizontal="left"/>
      <protection locked="0"/>
    </xf>
    <xf numFmtId="1" fontId="39" fillId="7" borderId="42" xfId="0" applyNumberFormat="1" applyFont="1" applyFill="1" applyBorder="1" applyAlignment="1" applyProtection="1">
      <alignment horizontal="left"/>
      <protection locked="0"/>
    </xf>
    <xf numFmtId="1" fontId="39" fillId="7" borderId="10" xfId="0" applyNumberFormat="1" applyFont="1" applyFill="1" applyBorder="1" applyAlignment="1" applyProtection="1">
      <alignment horizontal="left"/>
      <protection locked="0"/>
    </xf>
    <xf numFmtId="0" fontId="26" fillId="0" borderId="7" xfId="0" applyFont="1" applyBorder="1" applyAlignment="1">
      <alignment horizontal="left"/>
    </xf>
    <xf numFmtId="0" fontId="26" fillId="0" borderId="8" xfId="0" applyFont="1" applyBorder="1" applyAlignment="1">
      <alignment horizontal="left"/>
    </xf>
    <xf numFmtId="0" fontId="26" fillId="0" borderId="45" xfId="0" applyFont="1" applyBorder="1" applyAlignment="1">
      <alignment horizontal="left"/>
    </xf>
    <xf numFmtId="0" fontId="26" fillId="0" borderId="14" xfId="1" applyNumberFormat="1" applyFont="1" applyBorder="1" applyAlignment="1" applyProtection="1">
      <alignment vertical="center"/>
    </xf>
    <xf numFmtId="0" fontId="26" fillId="0" borderId="10" xfId="1" applyNumberFormat="1" applyFont="1" applyBorder="1" applyAlignment="1" applyProtection="1">
      <alignment vertical="center"/>
    </xf>
    <xf numFmtId="0" fontId="35" fillId="5" borderId="25" xfId="0" applyFont="1" applyFill="1" applyBorder="1" applyAlignment="1">
      <alignment horizontal="center"/>
    </xf>
    <xf numFmtId="0" fontId="35" fillId="5" borderId="26" xfId="0" applyFont="1" applyFill="1" applyBorder="1" applyAlignment="1">
      <alignment horizontal="center"/>
    </xf>
    <xf numFmtId="0" fontId="35" fillId="5" borderId="27" xfId="0" applyFont="1" applyFill="1" applyBorder="1" applyAlignment="1">
      <alignment horizontal="center"/>
    </xf>
    <xf numFmtId="0" fontId="13" fillId="0" borderId="5" xfId="0" applyFont="1" applyBorder="1" applyAlignment="1">
      <alignment horizontal="left"/>
    </xf>
    <xf numFmtId="0" fontId="26" fillId="0" borderId="15" xfId="0" applyFont="1" applyBorder="1" applyAlignment="1">
      <alignment horizontal="left"/>
    </xf>
    <xf numFmtId="0" fontId="26" fillId="0" borderId="17" xfId="0" applyFont="1" applyBorder="1" applyAlignment="1">
      <alignment horizontal="left"/>
    </xf>
    <xf numFmtId="0" fontId="26" fillId="0" borderId="16" xfId="0" applyFont="1" applyBorder="1" applyAlignment="1">
      <alignment horizontal="left"/>
    </xf>
    <xf numFmtId="0" fontId="26" fillId="0" borderId="23" xfId="0" applyFont="1" applyBorder="1" applyAlignment="1">
      <alignment horizontal="left"/>
    </xf>
    <xf numFmtId="0" fontId="26" fillId="0" borderId="12" xfId="0" applyFont="1" applyBorder="1" applyAlignment="1">
      <alignment horizontal="left"/>
    </xf>
    <xf numFmtId="0" fontId="26" fillId="0" borderId="22" xfId="0" applyFont="1" applyBorder="1" applyAlignment="1">
      <alignment horizontal="left"/>
    </xf>
    <xf numFmtId="0" fontId="26" fillId="0" borderId="23" xfId="0" applyFont="1" applyBorder="1" applyAlignment="1">
      <alignment horizontal="left" indent="1"/>
    </xf>
    <xf numFmtId="0" fontId="26" fillId="0" borderId="12" xfId="0" applyFont="1" applyBorder="1" applyAlignment="1">
      <alignment horizontal="left" indent="1"/>
    </xf>
    <xf numFmtId="0" fontId="26" fillId="0" borderId="22" xfId="0" applyFont="1" applyBorder="1" applyAlignment="1">
      <alignment horizontal="left" indent="1"/>
    </xf>
    <xf numFmtId="0" fontId="26" fillId="0" borderId="5" xfId="0" applyFont="1" applyBorder="1" applyAlignment="1">
      <alignment horizontal="left" indent="1"/>
    </xf>
    <xf numFmtId="0" fontId="26" fillId="0" borderId="2" xfId="0" applyFont="1" applyBorder="1" applyAlignment="1">
      <alignment horizontal="left" indent="1"/>
    </xf>
    <xf numFmtId="0" fontId="26" fillId="0" borderId="6" xfId="0" applyFont="1" applyBorder="1" applyAlignment="1">
      <alignment horizontal="left" indent="1"/>
    </xf>
    <xf numFmtId="0" fontId="26" fillId="0" borderId="6" xfId="0" applyFont="1" applyBorder="1" applyAlignment="1">
      <alignment horizontal="left"/>
    </xf>
    <xf numFmtId="0" fontId="20" fillId="0" borderId="42" xfId="0" applyFont="1" applyBorder="1" applyAlignment="1">
      <alignment horizontal="left"/>
    </xf>
    <xf numFmtId="0" fontId="20" fillId="0" borderId="34" xfId="0" applyFont="1" applyBorder="1" applyAlignment="1">
      <alignment horizontal="left"/>
    </xf>
    <xf numFmtId="0" fontId="26" fillId="0" borderId="3" xfId="0" applyFont="1" applyBorder="1" applyAlignment="1">
      <alignment horizontal="left"/>
    </xf>
    <xf numFmtId="0" fontId="26" fillId="0" borderId="4" xfId="0" applyFont="1" applyBorder="1" applyAlignment="1">
      <alignment horizontal="left"/>
    </xf>
    <xf numFmtId="0" fontId="26" fillId="0" borderId="13" xfId="0" applyFont="1" applyBorder="1" applyAlignment="1">
      <alignment horizontal="left"/>
    </xf>
    <xf numFmtId="0" fontId="26" fillId="0" borderId="63" xfId="1" applyNumberFormat="1" applyFont="1" applyBorder="1" applyAlignment="1" applyProtection="1">
      <alignment horizontal="center"/>
    </xf>
    <xf numFmtId="0" fontId="26" fillId="0" borderId="64" xfId="1" applyNumberFormat="1" applyFont="1" applyBorder="1" applyAlignment="1" applyProtection="1">
      <alignment horizontal="center"/>
    </xf>
    <xf numFmtId="0" fontId="26" fillId="0" borderId="56" xfId="1" applyNumberFormat="1" applyFont="1" applyBorder="1" applyAlignment="1" applyProtection="1">
      <alignment horizontal="center"/>
    </xf>
    <xf numFmtId="0" fontId="26" fillId="0" borderId="63" xfId="0" applyFont="1" applyBorder="1" applyAlignment="1">
      <alignment horizontal="left"/>
    </xf>
    <xf numFmtId="0" fontId="26" fillId="0" borderId="64" xfId="0" applyFont="1" applyBorder="1" applyAlignment="1">
      <alignment horizontal="left"/>
    </xf>
    <xf numFmtId="0" fontId="26" fillId="0" borderId="56" xfId="0" applyFont="1" applyBorder="1" applyAlignment="1">
      <alignment horizontal="left"/>
    </xf>
    <xf numFmtId="0" fontId="26" fillId="0" borderId="18" xfId="1" applyNumberFormat="1" applyFont="1" applyBorder="1" applyAlignment="1" applyProtection="1">
      <alignment horizontal="left"/>
    </xf>
    <xf numFmtId="0" fontId="26" fillId="0" borderId="19" xfId="1" applyNumberFormat="1" applyFont="1" applyBorder="1" applyAlignment="1" applyProtection="1">
      <alignment horizontal="left"/>
    </xf>
    <xf numFmtId="0" fontId="26" fillId="0" borderId="15" xfId="1" applyNumberFormat="1" applyFont="1" applyBorder="1" applyAlignment="1" applyProtection="1">
      <alignment vertical="center"/>
    </xf>
    <xf numFmtId="0" fontId="26" fillId="0" borderId="17" xfId="1" applyNumberFormat="1" applyFont="1" applyBorder="1" applyAlignment="1" applyProtection="1">
      <alignment vertical="center"/>
    </xf>
    <xf numFmtId="0" fontId="26" fillId="0" borderId="40" xfId="0" applyFont="1" applyBorder="1" applyAlignment="1">
      <alignment horizontal="left"/>
    </xf>
    <xf numFmtId="0" fontId="16" fillId="0" borderId="5" xfId="0" applyFont="1" applyBorder="1" applyAlignment="1">
      <alignment horizontal="left"/>
    </xf>
    <xf numFmtId="0" fontId="26" fillId="0" borderId="18" xfId="0" applyFont="1" applyBorder="1" applyAlignment="1">
      <alignment horizontal="center"/>
    </xf>
    <xf numFmtId="0" fontId="26" fillId="0" borderId="19" xfId="0" applyFont="1" applyBorder="1" applyAlignment="1">
      <alignment horizontal="center"/>
    </xf>
    <xf numFmtId="0" fontId="26" fillId="0" borderId="24" xfId="0" applyFont="1" applyBorder="1" applyAlignment="1">
      <alignment horizontal="center"/>
    </xf>
    <xf numFmtId="0" fontId="5" fillId="0" borderId="5" xfId="0" applyFont="1" applyBorder="1" applyAlignment="1">
      <alignment horizontal="left"/>
    </xf>
    <xf numFmtId="0" fontId="0" fillId="0" borderId="5" xfId="0" applyBorder="1"/>
    <xf numFmtId="0" fontId="0" fillId="0" borderId="2" xfId="0" applyBorder="1"/>
    <xf numFmtId="0" fontId="5" fillId="0" borderId="42" xfId="0" applyFont="1" applyBorder="1" applyAlignment="1">
      <alignment horizontal="left"/>
    </xf>
    <xf numFmtId="0" fontId="16" fillId="0" borderId="42" xfId="0" applyFont="1" applyBorder="1" applyAlignment="1">
      <alignment horizontal="left"/>
    </xf>
    <xf numFmtId="0" fontId="35" fillId="5" borderId="48" xfId="0" applyFont="1" applyFill="1" applyBorder="1" applyAlignment="1">
      <alignment horizontal="center"/>
    </xf>
    <xf numFmtId="0" fontId="35" fillId="5" borderId="49" xfId="0" applyFont="1" applyFill="1" applyBorder="1" applyAlignment="1">
      <alignment horizontal="center"/>
    </xf>
    <xf numFmtId="0" fontId="35" fillId="5" borderId="50" xfId="0" applyFont="1" applyFill="1" applyBorder="1" applyAlignment="1">
      <alignment horizontal="center"/>
    </xf>
    <xf numFmtId="0" fontId="26" fillId="0" borderId="23" xfId="0" applyFont="1" applyBorder="1" applyAlignment="1">
      <alignment horizontal="center"/>
    </xf>
    <xf numFmtId="0" fontId="26" fillId="0" borderId="12" xfId="0" applyFont="1" applyBorder="1" applyAlignment="1">
      <alignment horizontal="center"/>
    </xf>
    <xf numFmtId="0" fontId="26" fillId="0" borderId="22" xfId="0" applyFont="1" applyBorder="1" applyAlignment="1">
      <alignment horizontal="center"/>
    </xf>
    <xf numFmtId="0" fontId="26" fillId="0" borderId="5" xfId="0" applyFont="1" applyBorder="1" applyAlignment="1">
      <alignment horizontal="center"/>
    </xf>
    <xf numFmtId="0" fontId="26" fillId="0" borderId="2" xfId="0" applyFont="1" applyBorder="1" applyAlignment="1">
      <alignment horizontal="center"/>
    </xf>
    <xf numFmtId="0" fontId="2" fillId="0" borderId="5" xfId="0" applyFont="1" applyBorder="1" applyAlignment="1">
      <alignment horizontal="left"/>
    </xf>
    <xf numFmtId="0" fontId="0" fillId="0" borderId="0" xfId="0" applyAlignment="1">
      <alignment horizontal="left"/>
    </xf>
    <xf numFmtId="0" fontId="11" fillId="13" borderId="14" xfId="0" applyFont="1" applyFill="1" applyBorder="1" applyAlignment="1">
      <alignment horizontal="left"/>
    </xf>
    <xf numFmtId="0" fontId="11" fillId="13" borderId="10" xfId="0" applyFont="1" applyFill="1" applyBorder="1" applyAlignment="1">
      <alignment horizontal="left"/>
    </xf>
    <xf numFmtId="0" fontId="11" fillId="13" borderId="11" xfId="0" applyFont="1" applyFill="1" applyBorder="1" applyAlignment="1">
      <alignment horizontal="left"/>
    </xf>
    <xf numFmtId="0" fontId="2" fillId="0" borderId="14" xfId="0" applyFont="1" applyBorder="1" applyAlignment="1">
      <alignment horizontal="left"/>
    </xf>
    <xf numFmtId="0" fontId="9" fillId="0" borderId="10" xfId="0" applyFont="1" applyBorder="1" applyAlignment="1">
      <alignment horizontal="left"/>
    </xf>
    <xf numFmtId="0" fontId="9" fillId="0" borderId="11" xfId="0" applyFont="1" applyBorder="1" applyAlignment="1">
      <alignment horizontal="left"/>
    </xf>
    <xf numFmtId="0" fontId="9" fillId="13" borderId="5" xfId="0" applyFont="1" applyFill="1" applyBorder="1" applyAlignment="1">
      <alignment horizontal="left"/>
    </xf>
    <xf numFmtId="0" fontId="5" fillId="13" borderId="5" xfId="0" applyFont="1" applyFill="1" applyBorder="1" applyAlignment="1">
      <alignment horizontal="left"/>
    </xf>
    <xf numFmtId="0" fontId="27" fillId="3" borderId="18" xfId="0" applyFont="1" applyFill="1" applyBorder="1" applyAlignment="1">
      <alignment horizontal="center"/>
    </xf>
    <xf numFmtId="0" fontId="27" fillId="3" borderId="19" xfId="0" applyFont="1" applyFill="1" applyBorder="1" applyAlignment="1">
      <alignment horizontal="center"/>
    </xf>
    <xf numFmtId="0" fontId="27" fillId="3" borderId="35" xfId="0" applyFont="1" applyFill="1" applyBorder="1" applyAlignment="1">
      <alignment horizontal="center"/>
    </xf>
    <xf numFmtId="0" fontId="27" fillId="3" borderId="23" xfId="0" applyFont="1" applyFill="1" applyBorder="1" applyAlignment="1">
      <alignment horizontal="center"/>
    </xf>
    <xf numFmtId="0" fontId="27" fillId="3" borderId="12" xfId="0" applyFont="1" applyFill="1" applyBorder="1" applyAlignment="1">
      <alignment horizontal="center"/>
    </xf>
    <xf numFmtId="0" fontId="6" fillId="13" borderId="5" xfId="0" applyFont="1" applyFill="1" applyBorder="1" applyAlignment="1">
      <alignment horizontal="left"/>
    </xf>
    <xf numFmtId="0" fontId="1" fillId="0" borderId="14" xfId="0" applyFont="1" applyBorder="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26" fillId="0" borderId="53" xfId="0" applyFont="1" applyBorder="1" applyAlignment="1">
      <alignment horizontal="center"/>
    </xf>
    <xf numFmtId="0" fontId="1" fillId="0" borderId="1" xfId="0" applyFont="1" applyBorder="1" applyAlignment="1">
      <alignment horizontal="center"/>
    </xf>
    <xf numFmtId="0" fontId="1" fillId="0" borderId="43" xfId="0" applyFont="1" applyBorder="1" applyAlignment="1">
      <alignment horizontal="center"/>
    </xf>
    <xf numFmtId="0" fontId="26" fillId="0" borderId="3" xfId="0" applyFont="1" applyBorder="1" applyAlignment="1">
      <alignment horizontal="center"/>
    </xf>
    <xf numFmtId="0" fontId="26" fillId="0" borderId="4" xfId="0" applyFont="1" applyBorder="1" applyAlignment="1">
      <alignment horizontal="center"/>
    </xf>
    <xf numFmtId="0" fontId="26" fillId="0" borderId="13" xfId="0" applyFont="1" applyBorder="1" applyAlignment="1">
      <alignment horizontal="center"/>
    </xf>
    <xf numFmtId="0" fontId="1" fillId="0" borderId="5" xfId="0" applyFont="1" applyBorder="1" applyAlignment="1">
      <alignment horizontal="left"/>
    </xf>
    <xf numFmtId="0" fontId="1" fillId="0" borderId="14" xfId="0" applyFont="1" applyBorder="1"/>
    <xf numFmtId="0" fontId="1" fillId="0" borderId="10" xfId="0" applyFont="1" applyBorder="1"/>
    <xf numFmtId="0" fontId="1" fillId="0" borderId="11" xfId="0" applyFont="1" applyBorder="1"/>
    <xf numFmtId="0" fontId="26" fillId="0" borderId="15" xfId="0" applyFont="1" applyBorder="1"/>
    <xf numFmtId="0" fontId="26" fillId="0" borderId="17" xfId="0" applyFont="1" applyBorder="1"/>
    <xf numFmtId="0" fontId="26" fillId="0" borderId="16" xfId="0" applyFont="1" applyBorder="1"/>
    <xf numFmtId="0" fontId="6" fillId="13" borderId="14" xfId="0" applyFont="1" applyFill="1" applyBorder="1" applyAlignment="1">
      <alignment horizontal="left"/>
    </xf>
    <xf numFmtId="0" fontId="6" fillId="13" borderId="10" xfId="0" applyFont="1" applyFill="1" applyBorder="1" applyAlignment="1">
      <alignment horizontal="left"/>
    </xf>
    <xf numFmtId="0" fontId="6" fillId="13" borderId="11" xfId="0" applyFont="1" applyFill="1" applyBorder="1" applyAlignment="1">
      <alignment horizontal="left"/>
    </xf>
    <xf numFmtId="1" fontId="26" fillId="0" borderId="7" xfId="1" applyNumberFormat="1" applyFont="1" applyBorder="1" applyAlignment="1" applyProtection="1">
      <alignment horizontal="center"/>
    </xf>
    <xf numFmtId="1" fontId="26" fillId="0" borderId="8" xfId="1" applyNumberFormat="1" applyFont="1" applyBorder="1" applyAlignment="1" applyProtection="1">
      <alignment horizontal="center"/>
    </xf>
    <xf numFmtId="1" fontId="26" fillId="0" borderId="9" xfId="1" applyNumberFormat="1" applyFont="1" applyBorder="1" applyAlignment="1" applyProtection="1">
      <alignment horizontal="center"/>
    </xf>
    <xf numFmtId="0" fontId="26" fillId="0" borderId="5" xfId="1" applyNumberFormat="1" applyFont="1" applyBorder="1" applyAlignment="1" applyProtection="1">
      <alignment horizontal="center"/>
    </xf>
    <xf numFmtId="0" fontId="26" fillId="0" borderId="2" xfId="1" applyNumberFormat="1" applyFont="1" applyBorder="1" applyAlignment="1" applyProtection="1">
      <alignment horizontal="center"/>
    </xf>
    <xf numFmtId="0" fontId="26" fillId="0" borderId="6" xfId="1" applyNumberFormat="1" applyFont="1" applyBorder="1" applyAlignment="1" applyProtection="1">
      <alignment horizontal="center"/>
    </xf>
    <xf numFmtId="0" fontId="26" fillId="0" borderId="34" xfId="0" applyFont="1" applyBorder="1" applyAlignment="1">
      <alignment horizontal="left"/>
    </xf>
    <xf numFmtId="0" fontId="26" fillId="0" borderId="65" xfId="0" applyFont="1" applyBorder="1" applyAlignment="1">
      <alignment horizontal="center"/>
    </xf>
    <xf numFmtId="0" fontId="26" fillId="0" borderId="35" xfId="0" applyFont="1" applyBorder="1" applyAlignment="1">
      <alignment horizontal="center"/>
    </xf>
    <xf numFmtId="0" fontId="12" fillId="0" borderId="42" xfId="0" applyFont="1" applyBorder="1" applyAlignment="1">
      <alignment horizontal="center"/>
    </xf>
    <xf numFmtId="0" fontId="12" fillId="0" borderId="11" xfId="0" applyFont="1" applyBorder="1" applyAlignment="1">
      <alignment horizontal="center"/>
    </xf>
    <xf numFmtId="0" fontId="35" fillId="5" borderId="3" xfId="0" applyFont="1" applyFill="1" applyBorder="1" applyAlignment="1">
      <alignment horizontal="center"/>
    </xf>
    <xf numFmtId="0" fontId="35" fillId="5" borderId="4" xfId="0" applyFont="1" applyFill="1" applyBorder="1" applyAlignment="1">
      <alignment horizontal="center"/>
    </xf>
    <xf numFmtId="0" fontId="35" fillId="5" borderId="13" xfId="0" applyFont="1" applyFill="1" applyBorder="1" applyAlignment="1">
      <alignment horizontal="center"/>
    </xf>
    <xf numFmtId="0" fontId="26" fillId="0" borderId="20" xfId="0" applyFont="1" applyBorder="1" applyAlignment="1">
      <alignment horizontal="left"/>
    </xf>
    <xf numFmtId="0" fontId="26" fillId="0" borderId="0" xfId="0" applyFont="1" applyAlignment="1">
      <alignment horizontal="left"/>
    </xf>
    <xf numFmtId="0" fontId="26" fillId="0" borderId="39" xfId="0" applyFont="1" applyBorder="1" applyAlignment="1">
      <alignment horizontal="left"/>
    </xf>
    <xf numFmtId="0" fontId="26" fillId="0" borderId="34" xfId="0" applyFont="1" applyBorder="1" applyAlignment="1">
      <alignment horizontal="center"/>
    </xf>
    <xf numFmtId="0" fontId="26" fillId="0" borderId="16" xfId="0" applyFont="1" applyBorder="1" applyAlignment="1">
      <alignment horizontal="center"/>
    </xf>
    <xf numFmtId="0" fontId="27" fillId="0" borderId="7" xfId="0" applyFont="1" applyBorder="1"/>
    <xf numFmtId="0" fontId="27" fillId="0" borderId="8" xfId="0" applyFont="1" applyBorder="1"/>
    <xf numFmtId="0" fontId="11" fillId="0" borderId="5" xfId="0" applyFont="1" applyBorder="1" applyAlignment="1">
      <alignment horizontal="left"/>
    </xf>
    <xf numFmtId="0" fontId="34" fillId="0" borderId="7" xfId="0" applyFont="1" applyBorder="1" applyAlignment="1">
      <alignment horizontal="left"/>
    </xf>
    <xf numFmtId="0" fontId="34" fillId="0" borderId="8" xfId="0" applyFont="1" applyBorder="1" applyAlignment="1">
      <alignment horizontal="left"/>
    </xf>
    <xf numFmtId="0" fontId="34" fillId="0" borderId="9" xfId="0" applyFont="1" applyBorder="1" applyAlignment="1">
      <alignment horizontal="left"/>
    </xf>
    <xf numFmtId="0" fontId="26" fillId="0" borderId="25" xfId="0" applyFont="1" applyBorder="1"/>
    <xf numFmtId="0" fontId="26" fillId="0" borderId="26" xfId="0" applyFont="1" applyBorder="1"/>
    <xf numFmtId="0" fontId="26" fillId="0" borderId="69" xfId="0" applyFont="1" applyBorder="1"/>
    <xf numFmtId="0" fontId="2" fillId="0" borderId="14" xfId="0" applyFont="1" applyBorder="1"/>
    <xf numFmtId="0" fontId="2" fillId="0" borderId="10" xfId="0" applyFont="1" applyBorder="1"/>
    <xf numFmtId="0" fontId="2" fillId="0" borderId="46" xfId="0" applyFont="1" applyBorder="1"/>
    <xf numFmtId="0" fontId="2" fillId="0" borderId="37" xfId="0" applyFont="1" applyBorder="1"/>
    <xf numFmtId="0" fontId="2" fillId="0" borderId="38" xfId="0" applyFont="1" applyBorder="1"/>
    <xf numFmtId="0" fontId="26" fillId="6" borderId="14" xfId="0" applyFont="1" applyFill="1" applyBorder="1" applyAlignment="1">
      <alignment wrapText="1"/>
    </xf>
    <xf numFmtId="0" fontId="26" fillId="6" borderId="10" xfId="0" applyFont="1" applyFill="1" applyBorder="1" applyAlignment="1">
      <alignment wrapText="1"/>
    </xf>
    <xf numFmtId="0" fontId="26" fillId="6" borderId="11" xfId="0" applyFont="1" applyFill="1" applyBorder="1" applyAlignment="1">
      <alignment wrapText="1"/>
    </xf>
    <xf numFmtId="9" fontId="26" fillId="0" borderId="51" xfId="0" applyNumberFormat="1" applyFont="1" applyBorder="1"/>
    <xf numFmtId="9" fontId="26" fillId="0" borderId="52" xfId="0" applyNumberFormat="1" applyFont="1" applyBorder="1"/>
    <xf numFmtId="0" fontId="61" fillId="5" borderId="25" xfId="0" applyFont="1" applyFill="1" applyBorder="1" applyAlignment="1">
      <alignment horizontal="center" vertical="center"/>
    </xf>
    <xf numFmtId="0" fontId="61" fillId="5" borderId="26" xfId="0" applyFont="1" applyFill="1" applyBorder="1" applyAlignment="1">
      <alignment horizontal="center" vertical="center"/>
    </xf>
    <xf numFmtId="0" fontId="61" fillId="5" borderId="27" xfId="0" applyFont="1" applyFill="1" applyBorder="1" applyAlignment="1">
      <alignment horizontal="center" vertical="center"/>
    </xf>
    <xf numFmtId="0" fontId="26" fillId="6" borderId="40" xfId="0" applyFont="1" applyFill="1" applyBorder="1" applyAlignment="1">
      <alignment horizontal="center"/>
    </xf>
    <xf numFmtId="0" fontId="26" fillId="6" borderId="43" xfId="0" applyFont="1" applyFill="1" applyBorder="1" applyAlignment="1">
      <alignment horizontal="center"/>
    </xf>
    <xf numFmtId="0" fontId="61" fillId="5" borderId="3" xfId="0" applyFont="1" applyFill="1" applyBorder="1" applyAlignment="1">
      <alignment horizontal="center" vertical="center"/>
    </xf>
    <xf numFmtId="0" fontId="61" fillId="5" borderId="4" xfId="0" applyFont="1" applyFill="1" applyBorder="1" applyAlignment="1">
      <alignment horizontal="center" vertical="center"/>
    </xf>
    <xf numFmtId="0" fontId="61" fillId="5" borderId="13" xfId="0" applyFont="1" applyFill="1" applyBorder="1" applyAlignment="1">
      <alignment horizontal="center" vertical="center"/>
    </xf>
    <xf numFmtId="0" fontId="26" fillId="6" borderId="5" xfId="0" applyFont="1" applyFill="1" applyBorder="1" applyAlignment="1">
      <alignment wrapText="1"/>
    </xf>
    <xf numFmtId="0" fontId="26" fillId="6" borderId="2" xfId="0" applyFont="1" applyFill="1" applyBorder="1" applyAlignment="1">
      <alignment wrapText="1"/>
    </xf>
    <xf numFmtId="9" fontId="2" fillId="0" borderId="5" xfId="0" applyNumberFormat="1" applyFont="1" applyBorder="1" applyAlignment="1">
      <alignment horizontal="left"/>
    </xf>
    <xf numFmtId="9" fontId="2" fillId="0" borderId="2" xfId="0" applyNumberFormat="1" applyFont="1" applyBorder="1" applyAlignment="1">
      <alignment horizontal="left"/>
    </xf>
    <xf numFmtId="0" fontId="26" fillId="6" borderId="41" xfId="0" applyFont="1" applyFill="1" applyBorder="1" applyAlignment="1">
      <alignment horizontal="center"/>
    </xf>
    <xf numFmtId="0" fontId="26" fillId="6" borderId="12" xfId="0" applyFont="1" applyFill="1" applyBorder="1" applyAlignment="1">
      <alignment horizontal="center"/>
    </xf>
    <xf numFmtId="0" fontId="26" fillId="6" borderId="23" xfId="0" applyFont="1" applyFill="1" applyBorder="1" applyAlignment="1">
      <alignment wrapText="1"/>
    </xf>
    <xf numFmtId="0" fontId="26" fillId="6" borderId="12" xfId="0" applyFont="1" applyFill="1" applyBorder="1" applyAlignment="1">
      <alignment wrapText="1"/>
    </xf>
    <xf numFmtId="0" fontId="35" fillId="5" borderId="25" xfId="0" applyFont="1" applyFill="1" applyBorder="1" applyAlignment="1">
      <alignment horizontal="center" vertical="center"/>
    </xf>
    <xf numFmtId="0" fontId="35" fillId="5" borderId="26" xfId="0" applyFont="1" applyFill="1" applyBorder="1" applyAlignment="1">
      <alignment horizontal="center" vertical="center"/>
    </xf>
    <xf numFmtId="0" fontId="35" fillId="5" borderId="27" xfId="0" applyFont="1" applyFill="1" applyBorder="1" applyAlignment="1">
      <alignment horizontal="center" vertical="center"/>
    </xf>
    <xf numFmtId="0" fontId="26" fillId="6" borderId="5" xfId="0" applyFont="1" applyFill="1" applyBorder="1" applyAlignment="1">
      <alignment horizontal="left" wrapText="1"/>
    </xf>
    <xf numFmtId="0" fontId="26" fillId="6" borderId="2" xfId="0" applyFont="1" applyFill="1" applyBorder="1" applyAlignment="1">
      <alignment horizontal="left" wrapText="1"/>
    </xf>
    <xf numFmtId="0" fontId="0" fillId="0" borderId="5" xfId="0" applyBorder="1" applyAlignment="1">
      <alignment horizontal="left"/>
    </xf>
    <xf numFmtId="0" fontId="0" fillId="0" borderId="2" xfId="0" applyBorder="1" applyAlignment="1">
      <alignment horizontal="left"/>
    </xf>
    <xf numFmtId="0" fontId="35" fillId="5" borderId="18" xfId="0" applyFont="1" applyFill="1" applyBorder="1" applyAlignment="1">
      <alignment horizontal="center" vertical="center"/>
    </xf>
    <xf numFmtId="0" fontId="35" fillId="5" borderId="19" xfId="0" applyFont="1" applyFill="1" applyBorder="1" applyAlignment="1">
      <alignment horizontal="center" vertical="center"/>
    </xf>
    <xf numFmtId="0" fontId="35" fillId="5" borderId="24" xfId="0" applyFont="1" applyFill="1" applyBorder="1" applyAlignment="1">
      <alignment horizontal="center" vertical="center"/>
    </xf>
    <xf numFmtId="9" fontId="39" fillId="0" borderId="14" xfId="0" applyNumberFormat="1" applyFont="1" applyBorder="1" applyAlignment="1">
      <alignment horizontal="center"/>
    </xf>
    <xf numFmtId="9" fontId="39" fillId="0" borderId="10" xfId="0" applyNumberFormat="1" applyFont="1" applyBorder="1" applyAlignment="1">
      <alignment horizontal="center"/>
    </xf>
    <xf numFmtId="9" fontId="39" fillId="0" borderId="11" xfId="0" applyNumberFormat="1" applyFont="1" applyBorder="1" applyAlignment="1">
      <alignment horizontal="center"/>
    </xf>
    <xf numFmtId="0" fontId="33" fillId="11" borderId="17" xfId="0" applyFont="1" applyFill="1" applyBorder="1" applyAlignment="1">
      <alignment horizontal="center"/>
    </xf>
    <xf numFmtId="0" fontId="33" fillId="11" borderId="44" xfId="0" applyFont="1" applyFill="1" applyBorder="1" applyAlignment="1">
      <alignment horizontal="center"/>
    </xf>
    <xf numFmtId="0" fontId="49" fillId="12" borderId="3" xfId="0" applyFont="1" applyFill="1" applyBorder="1" applyAlignment="1">
      <alignment horizontal="center"/>
    </xf>
    <xf numFmtId="0" fontId="49" fillId="12" borderId="35" xfId="0" applyFont="1" applyFill="1" applyBorder="1" applyAlignment="1">
      <alignment horizontal="center"/>
    </xf>
    <xf numFmtId="0" fontId="49" fillId="12" borderId="4" xfId="0" applyFont="1" applyFill="1" applyBorder="1" applyAlignment="1">
      <alignment horizontal="center"/>
    </xf>
    <xf numFmtId="0" fontId="49" fillId="12" borderId="13" xfId="0" applyFont="1" applyFill="1" applyBorder="1" applyAlignment="1">
      <alignment horizontal="center"/>
    </xf>
    <xf numFmtId="0" fontId="26" fillId="11" borderId="40" xfId="0" applyFont="1" applyFill="1" applyBorder="1" applyAlignment="1">
      <alignment horizontal="center"/>
    </xf>
    <xf numFmtId="0" fontId="26" fillId="11" borderId="1" xfId="0" applyFont="1" applyFill="1" applyBorder="1" applyAlignment="1">
      <alignment horizontal="center"/>
    </xf>
    <xf numFmtId="0" fontId="26" fillId="11" borderId="43" xfId="0" applyFont="1" applyFill="1" applyBorder="1" applyAlignment="1">
      <alignment horizontal="center"/>
    </xf>
    <xf numFmtId="0" fontId="41" fillId="12" borderId="18" xfId="0" applyFont="1" applyFill="1" applyBorder="1" applyAlignment="1">
      <alignment horizontal="center" wrapText="1"/>
    </xf>
    <xf numFmtId="0" fontId="41" fillId="12" borderId="19" xfId="0" applyFont="1" applyFill="1" applyBorder="1" applyAlignment="1">
      <alignment horizontal="center" wrapText="1"/>
    </xf>
    <xf numFmtId="0" fontId="41" fillId="12" borderId="35" xfId="0" applyFont="1" applyFill="1" applyBorder="1" applyAlignment="1">
      <alignment horizontal="center" wrapText="1"/>
    </xf>
    <xf numFmtId="9" fontId="39" fillId="11" borderId="14" xfId="0" applyNumberFormat="1" applyFont="1" applyFill="1" applyBorder="1" applyAlignment="1">
      <alignment horizontal="center"/>
    </xf>
    <xf numFmtId="9" fontId="39" fillId="11" borderId="10" xfId="0" applyNumberFormat="1" applyFont="1" applyFill="1" applyBorder="1" applyAlignment="1">
      <alignment horizontal="center"/>
    </xf>
    <xf numFmtId="9" fontId="39" fillId="11" borderId="11" xfId="0" applyNumberFormat="1" applyFont="1" applyFill="1" applyBorder="1" applyAlignment="1">
      <alignment horizontal="center"/>
    </xf>
    <xf numFmtId="0" fontId="33" fillId="11" borderId="17" xfId="0" applyFont="1" applyFill="1" applyBorder="1" applyAlignment="1">
      <alignment horizontal="left"/>
    </xf>
    <xf numFmtId="0" fontId="33" fillId="11" borderId="44" xfId="0" applyFont="1" applyFill="1" applyBorder="1" applyAlignment="1">
      <alignment horizontal="left"/>
    </xf>
    <xf numFmtId="0" fontId="41" fillId="12" borderId="24" xfId="0" applyFont="1" applyFill="1" applyBorder="1" applyAlignment="1">
      <alignment horizontal="center" wrapText="1"/>
    </xf>
    <xf numFmtId="0" fontId="26" fillId="0" borderId="42" xfId="0" applyFont="1" applyBorder="1" applyAlignment="1">
      <alignment horizontal="center"/>
    </xf>
    <xf numFmtId="0" fontId="26" fillId="0" borderId="45" xfId="0" applyFont="1" applyBorder="1" applyAlignment="1">
      <alignment horizontal="center"/>
    </xf>
    <xf numFmtId="0" fontId="20" fillId="0" borderId="14" xfId="0" applyFont="1" applyBorder="1" applyAlignment="1">
      <alignment horizontal="left"/>
    </xf>
    <xf numFmtId="0" fontId="20" fillId="0" borderId="10" xfId="0" applyFont="1" applyBorder="1" applyAlignment="1">
      <alignment horizontal="left"/>
    </xf>
    <xf numFmtId="0" fontId="20" fillId="0" borderId="45" xfId="0" applyFont="1" applyBorder="1" applyAlignment="1">
      <alignment horizontal="left"/>
    </xf>
    <xf numFmtId="0" fontId="20" fillId="0" borderId="15" xfId="0" applyFont="1" applyBorder="1" applyAlignment="1">
      <alignment horizontal="left"/>
    </xf>
    <xf numFmtId="0" fontId="20" fillId="0" borderId="17" xfId="0" applyFont="1" applyBorder="1" applyAlignment="1">
      <alignment horizontal="left"/>
    </xf>
    <xf numFmtId="0" fontId="20" fillId="0" borderId="44" xfId="0" applyFont="1" applyBorder="1" applyAlignment="1">
      <alignment horizontal="left"/>
    </xf>
    <xf numFmtId="0" fontId="13" fillId="0" borderId="14" xfId="0" applyFont="1" applyBorder="1" applyAlignment="1">
      <alignment horizontal="left"/>
    </xf>
    <xf numFmtId="0" fontId="13" fillId="0" borderId="10" xfId="0" applyFont="1" applyBorder="1" applyAlignment="1">
      <alignment horizontal="left"/>
    </xf>
    <xf numFmtId="0" fontId="13" fillId="0" borderId="45" xfId="0" applyFont="1" applyBorder="1" applyAlignment="1">
      <alignment horizontal="left"/>
    </xf>
    <xf numFmtId="0" fontId="26" fillId="0" borderId="18" xfId="0" applyFont="1" applyBorder="1" applyAlignment="1">
      <alignment horizontal="left" indent="1"/>
    </xf>
    <xf numFmtId="0" fontId="26" fillId="0" borderId="19" xfId="0" applyFont="1" applyBorder="1" applyAlignment="1">
      <alignment horizontal="left" indent="1"/>
    </xf>
    <xf numFmtId="0" fontId="26" fillId="0" borderId="24" xfId="0" applyFont="1" applyBorder="1" applyAlignment="1">
      <alignment horizontal="left" indent="1"/>
    </xf>
    <xf numFmtId="0" fontId="36" fillId="0" borderId="32" xfId="0" applyFont="1" applyBorder="1" applyAlignment="1">
      <alignment horizontal="left" indent="3"/>
    </xf>
    <xf numFmtId="0" fontId="36" fillId="0" borderId="21" xfId="0" applyFont="1" applyBorder="1" applyAlignment="1">
      <alignment horizontal="left" indent="3"/>
    </xf>
    <xf numFmtId="0" fontId="36" fillId="0" borderId="33" xfId="0" applyFont="1" applyBorder="1" applyAlignment="1">
      <alignment horizontal="left" indent="3"/>
    </xf>
    <xf numFmtId="0" fontId="26" fillId="0" borderId="18" xfId="0" applyFont="1" applyBorder="1" applyAlignment="1">
      <alignment horizontal="left"/>
    </xf>
    <xf numFmtId="0" fontId="26" fillId="0" borderId="19" xfId="0" applyFont="1" applyBorder="1" applyAlignment="1">
      <alignment horizontal="left"/>
    </xf>
    <xf numFmtId="0" fontId="26" fillId="0" borderId="24" xfId="0" applyFont="1" applyBorder="1" applyAlignment="1">
      <alignment horizontal="left"/>
    </xf>
    <xf numFmtId="0" fontId="11" fillId="0" borderId="14" xfId="0" applyFont="1" applyBorder="1" applyAlignment="1">
      <alignment horizontal="left"/>
    </xf>
    <xf numFmtId="0" fontId="11" fillId="0" borderId="10" xfId="0" applyFont="1" applyBorder="1" applyAlignment="1">
      <alignment horizontal="left"/>
    </xf>
    <xf numFmtId="0" fontId="11" fillId="0" borderId="45" xfId="0" applyFont="1" applyBorder="1" applyAlignment="1">
      <alignment horizontal="left"/>
    </xf>
    <xf numFmtId="0" fontId="34" fillId="0" borderId="15" xfId="0" applyFont="1" applyBorder="1" applyAlignment="1">
      <alignment horizontal="left"/>
    </xf>
    <xf numFmtId="0" fontId="34" fillId="0" borderId="17" xfId="0" applyFont="1" applyBorder="1" applyAlignment="1">
      <alignment horizontal="left"/>
    </xf>
    <xf numFmtId="0" fontId="34" fillId="0" borderId="44" xfId="0" applyFont="1" applyBorder="1" applyAlignment="1">
      <alignment horizontal="left"/>
    </xf>
    <xf numFmtId="0" fontId="26" fillId="0" borderId="44" xfId="1" applyNumberFormat="1" applyFont="1" applyBorder="1" applyAlignment="1" applyProtection="1">
      <alignment vertical="center"/>
    </xf>
    <xf numFmtId="0" fontId="26" fillId="0" borderId="45" xfId="1" applyNumberFormat="1" applyFont="1" applyBorder="1" applyAlignment="1" applyProtection="1">
      <alignment vertical="center"/>
    </xf>
    <xf numFmtId="0" fontId="26" fillId="0" borderId="25" xfId="0" applyFont="1" applyBorder="1" applyAlignment="1">
      <alignment horizontal="center"/>
    </xf>
    <xf numFmtId="0" fontId="26" fillId="0" borderId="26" xfId="0" applyFont="1" applyBorder="1" applyAlignment="1">
      <alignment horizontal="center"/>
    </xf>
    <xf numFmtId="0" fontId="26" fillId="0" borderId="27" xfId="0" applyFont="1" applyBorder="1" applyAlignment="1">
      <alignment horizontal="center"/>
    </xf>
    <xf numFmtId="0" fontId="26" fillId="0" borderId="24" xfId="1" applyNumberFormat="1" applyFont="1" applyBorder="1" applyAlignment="1" applyProtection="1">
      <alignment horizontal="left"/>
    </xf>
    <xf numFmtId="0" fontId="41" fillId="12" borderId="25" xfId="0" applyFont="1" applyFill="1" applyBorder="1" applyAlignment="1">
      <alignment horizontal="center" wrapText="1"/>
    </xf>
    <xf numFmtId="0" fontId="41" fillId="12" borderId="26" xfId="0" applyFont="1" applyFill="1" applyBorder="1" applyAlignment="1">
      <alignment horizontal="center" wrapText="1"/>
    </xf>
    <xf numFmtId="0" fontId="41" fillId="12" borderId="27" xfId="0" applyFont="1" applyFill="1" applyBorder="1" applyAlignment="1">
      <alignment horizontal="center" wrapText="1"/>
    </xf>
    <xf numFmtId="0" fontId="47" fillId="5" borderId="25" xfId="0" applyFont="1" applyFill="1" applyBorder="1" applyAlignment="1">
      <alignment horizontal="center"/>
    </xf>
    <xf numFmtId="0" fontId="47" fillId="5" borderId="26" xfId="0" applyFont="1" applyFill="1" applyBorder="1" applyAlignment="1">
      <alignment horizontal="center"/>
    </xf>
    <xf numFmtId="0" fontId="47" fillId="5" borderId="27" xfId="0" applyFont="1" applyFill="1" applyBorder="1" applyAlignment="1">
      <alignment horizontal="center"/>
    </xf>
    <xf numFmtId="0" fontId="34" fillId="7" borderId="42" xfId="4" applyFont="1" applyFill="1" applyBorder="1" applyAlignment="1" applyProtection="1">
      <alignment horizontal="left"/>
      <protection locked="0"/>
    </xf>
    <xf numFmtId="0" fontId="34" fillId="7" borderId="10" xfId="4" applyFont="1" applyFill="1" applyBorder="1" applyAlignment="1" applyProtection="1">
      <alignment horizontal="left"/>
      <protection locked="0"/>
    </xf>
    <xf numFmtId="0" fontId="34" fillId="7" borderId="45" xfId="4" applyFont="1" applyFill="1" applyBorder="1" applyAlignment="1" applyProtection="1">
      <alignment horizontal="left"/>
      <protection locked="0"/>
    </xf>
    <xf numFmtId="0" fontId="55" fillId="7" borderId="42" xfId="4" applyFont="1" applyFill="1" applyBorder="1" applyAlignment="1" applyProtection="1">
      <alignment horizontal="left"/>
      <protection locked="0"/>
    </xf>
    <xf numFmtId="0" fontId="55" fillId="7" borderId="10" xfId="4" applyFont="1" applyFill="1" applyBorder="1" applyAlignment="1" applyProtection="1">
      <alignment horizontal="left"/>
      <protection locked="0"/>
    </xf>
    <xf numFmtId="0" fontId="55" fillId="7" borderId="45" xfId="4" applyFont="1" applyFill="1" applyBorder="1" applyAlignment="1" applyProtection="1">
      <alignment horizontal="left"/>
      <protection locked="0"/>
    </xf>
    <xf numFmtId="0" fontId="55" fillId="7" borderId="34" xfId="4" applyFont="1" applyFill="1" applyBorder="1" applyAlignment="1" applyProtection="1">
      <alignment horizontal="left"/>
      <protection locked="0"/>
    </xf>
    <xf numFmtId="0" fontId="55" fillId="7" borderId="17" xfId="4" applyFont="1" applyFill="1" applyBorder="1" applyAlignment="1" applyProtection="1">
      <alignment horizontal="left"/>
      <protection locked="0"/>
    </xf>
    <xf numFmtId="0" fontId="55" fillId="7" borderId="44" xfId="4" applyFont="1" applyFill="1" applyBorder="1" applyAlignment="1" applyProtection="1">
      <alignment horizontal="left"/>
      <protection locked="0"/>
    </xf>
    <xf numFmtId="0" fontId="59" fillId="7" borderId="42" xfId="4" applyFont="1" applyFill="1" applyBorder="1" applyAlignment="1" applyProtection="1">
      <alignment horizontal="left"/>
      <protection locked="0"/>
    </xf>
    <xf numFmtId="0" fontId="59" fillId="7" borderId="10" xfId="4" applyFont="1" applyFill="1" applyBorder="1" applyAlignment="1" applyProtection="1">
      <alignment horizontal="left"/>
      <protection locked="0"/>
    </xf>
    <xf numFmtId="0" fontId="59" fillId="7" borderId="45" xfId="4" applyFont="1" applyFill="1" applyBorder="1" applyAlignment="1" applyProtection="1">
      <alignment horizontal="left"/>
      <protection locked="0"/>
    </xf>
    <xf numFmtId="0" fontId="34" fillId="7" borderId="11" xfId="4" applyFont="1" applyFill="1" applyBorder="1" applyAlignment="1" applyProtection="1">
      <alignment horizontal="left"/>
      <protection locked="0"/>
    </xf>
    <xf numFmtId="0" fontId="34" fillId="7" borderId="2" xfId="4" applyFont="1" applyFill="1" applyBorder="1" applyAlignment="1" applyProtection="1">
      <alignment horizontal="left"/>
      <protection locked="0"/>
    </xf>
    <xf numFmtId="0" fontId="55" fillId="7" borderId="11" xfId="4" applyFont="1" applyFill="1" applyBorder="1" applyAlignment="1" applyProtection="1">
      <alignment horizontal="left"/>
      <protection locked="0"/>
    </xf>
    <xf numFmtId="0" fontId="55" fillId="7" borderId="40" xfId="4" applyFont="1" applyFill="1" applyBorder="1" applyAlignment="1" applyProtection="1">
      <alignment horizontal="left"/>
      <protection locked="0"/>
    </xf>
    <xf numFmtId="0" fontId="55" fillId="7" borderId="1" xfId="4" applyFont="1" applyFill="1" applyBorder="1" applyAlignment="1" applyProtection="1">
      <alignment horizontal="left"/>
      <protection locked="0"/>
    </xf>
    <xf numFmtId="0" fontId="55" fillId="7" borderId="41" xfId="4" applyFont="1" applyFill="1" applyBorder="1" applyAlignment="1" applyProtection="1">
      <alignment horizontal="left"/>
      <protection locked="0"/>
    </xf>
    <xf numFmtId="0" fontId="57" fillId="6" borderId="40" xfId="4" applyFont="1" applyFill="1" applyBorder="1" applyAlignment="1">
      <alignment horizontal="center"/>
    </xf>
    <xf numFmtId="0" fontId="57" fillId="6" borderId="1" xfId="4" applyFont="1" applyFill="1" applyBorder="1" applyAlignment="1">
      <alignment horizontal="center"/>
    </xf>
    <xf numFmtId="0" fontId="57" fillId="6" borderId="43" xfId="4" applyFont="1" applyFill="1" applyBorder="1" applyAlignment="1">
      <alignment horizontal="center"/>
    </xf>
    <xf numFmtId="0" fontId="34" fillId="0" borderId="14" xfId="8" applyFont="1" applyBorder="1"/>
    <xf numFmtId="0" fontId="34" fillId="0" borderId="10" xfId="8" applyFont="1" applyBorder="1"/>
    <xf numFmtId="0" fontId="34" fillId="0" borderId="11" xfId="8" applyFont="1" applyBorder="1"/>
    <xf numFmtId="0" fontId="57" fillId="0" borderId="14" xfId="8" applyFont="1" applyBorder="1"/>
    <xf numFmtId="0" fontId="57" fillId="0" borderId="10" xfId="8" applyFont="1" applyBorder="1"/>
    <xf numFmtId="0" fontId="57" fillId="0" borderId="11" xfId="8" applyFont="1" applyBorder="1"/>
    <xf numFmtId="0" fontId="57" fillId="0" borderId="15" xfId="8" applyFont="1" applyBorder="1"/>
    <xf numFmtId="0" fontId="57" fillId="0" borderId="17" xfId="8" applyFont="1" applyBorder="1"/>
    <xf numFmtId="0" fontId="57" fillId="0" borderId="16" xfId="8" applyFont="1" applyBorder="1"/>
    <xf numFmtId="0" fontId="47" fillId="0" borderId="14" xfId="8" applyFont="1" applyBorder="1"/>
    <xf numFmtId="0" fontId="47" fillId="0" borderId="10" xfId="8" applyFont="1" applyBorder="1"/>
    <xf numFmtId="0" fontId="47" fillId="0" borderId="11" xfId="8" applyFont="1" applyBorder="1"/>
    <xf numFmtId="0" fontId="65" fillId="6" borderId="14" xfId="8" applyFont="1" applyFill="1" applyBorder="1" applyAlignment="1">
      <alignment wrapText="1"/>
    </xf>
    <xf numFmtId="0" fontId="65" fillId="6" borderId="10" xfId="8" applyFont="1" applyFill="1" applyBorder="1" applyAlignment="1">
      <alignment wrapText="1"/>
    </xf>
    <xf numFmtId="0" fontId="65" fillId="6" borderId="11" xfId="8" applyFont="1" applyFill="1" applyBorder="1" applyAlignment="1">
      <alignment wrapText="1"/>
    </xf>
    <xf numFmtId="0" fontId="27" fillId="3" borderId="65" xfId="0" applyFont="1" applyFill="1" applyBorder="1" applyAlignment="1">
      <alignment horizontal="center"/>
    </xf>
    <xf numFmtId="0" fontId="27" fillId="3" borderId="24" xfId="0" applyFont="1" applyFill="1" applyBorder="1" applyAlignment="1">
      <alignment horizontal="center"/>
    </xf>
    <xf numFmtId="0" fontId="5" fillId="7" borderId="10" xfId="0" applyFont="1" applyFill="1" applyBorder="1" applyAlignment="1" applyProtection="1">
      <alignment horizontal="center"/>
      <protection locked="0"/>
    </xf>
    <xf numFmtId="0" fontId="5" fillId="7" borderId="45" xfId="0" applyFont="1" applyFill="1" applyBorder="1" applyAlignment="1" applyProtection="1">
      <alignment horizontal="center"/>
      <protection locked="0"/>
    </xf>
    <xf numFmtId="0" fontId="5" fillId="0" borderId="34" xfId="0" applyFont="1" applyBorder="1" applyAlignment="1">
      <alignment horizontal="center"/>
    </xf>
    <xf numFmtId="0" fontId="5" fillId="0" borderId="17" xfId="0" applyFont="1" applyBorder="1" applyAlignment="1">
      <alignment horizontal="center"/>
    </xf>
    <xf numFmtId="0" fontId="5" fillId="0" borderId="44" xfId="0" applyFont="1" applyBorder="1" applyAlignment="1">
      <alignment horizontal="center"/>
    </xf>
    <xf numFmtId="0" fontId="5" fillId="7" borderId="42" xfId="0" applyFont="1" applyFill="1" applyBorder="1" applyAlignment="1" applyProtection="1">
      <alignment horizontal="center"/>
      <protection locked="0"/>
    </xf>
    <xf numFmtId="0" fontId="14" fillId="7" borderId="5" xfId="0" applyFont="1" applyFill="1" applyBorder="1" applyAlignment="1" applyProtection="1">
      <alignment horizontal="left"/>
      <protection locked="0"/>
    </xf>
    <xf numFmtId="0" fontId="16" fillId="7" borderId="2" xfId="0" applyFont="1" applyFill="1" applyBorder="1" applyAlignment="1" applyProtection="1">
      <alignment horizontal="left"/>
      <protection locked="0"/>
    </xf>
    <xf numFmtId="0" fontId="1" fillId="13" borderId="5" xfId="0" applyFont="1" applyFill="1" applyBorder="1" applyAlignment="1">
      <alignment horizontal="left"/>
    </xf>
    <xf numFmtId="0" fontId="2" fillId="13" borderId="2" xfId="0" applyFont="1" applyFill="1" applyBorder="1" applyAlignment="1">
      <alignment horizontal="left"/>
    </xf>
    <xf numFmtId="0" fontId="27" fillId="3" borderId="23" xfId="0" applyFont="1" applyFill="1" applyBorder="1"/>
    <xf numFmtId="0" fontId="27" fillId="3" borderId="12" xfId="0" applyFont="1" applyFill="1" applyBorder="1"/>
    <xf numFmtId="0" fontId="5" fillId="7" borderId="5" xfId="0" applyFont="1" applyFill="1" applyBorder="1" applyAlignment="1" applyProtection="1">
      <alignment horizontal="left"/>
      <protection locked="0"/>
    </xf>
    <xf numFmtId="0" fontId="5" fillId="7" borderId="2" xfId="0" applyFont="1" applyFill="1" applyBorder="1" applyAlignment="1" applyProtection="1">
      <alignment horizontal="left"/>
      <protection locked="0"/>
    </xf>
    <xf numFmtId="0" fontId="2" fillId="7" borderId="5" xfId="0" applyFont="1" applyFill="1" applyBorder="1" applyAlignment="1" applyProtection="1">
      <alignment horizontal="left"/>
      <protection locked="0"/>
    </xf>
    <xf numFmtId="0" fontId="2" fillId="7" borderId="2" xfId="0" applyFont="1" applyFill="1" applyBorder="1" applyAlignment="1" applyProtection="1">
      <alignment horizontal="left"/>
      <protection locked="0"/>
    </xf>
    <xf numFmtId="0" fontId="11" fillId="7" borderId="5" xfId="0" applyFont="1" applyFill="1" applyBorder="1" applyAlignment="1" applyProtection="1">
      <alignment horizontal="left"/>
      <protection locked="0"/>
    </xf>
    <xf numFmtId="0" fontId="11" fillId="7" borderId="2" xfId="0" applyFont="1" applyFill="1" applyBorder="1" applyAlignment="1" applyProtection="1">
      <alignment horizontal="left"/>
      <protection locked="0"/>
    </xf>
    <xf numFmtId="0" fontId="16" fillId="7" borderId="5" xfId="0" applyFont="1" applyFill="1" applyBorder="1" applyAlignment="1" applyProtection="1">
      <alignment horizontal="left"/>
      <protection locked="0"/>
    </xf>
    <xf numFmtId="0" fontId="16" fillId="7" borderId="7" xfId="0" applyFont="1" applyFill="1" applyBorder="1" applyAlignment="1" applyProtection="1">
      <alignment horizontal="left"/>
      <protection locked="0"/>
    </xf>
    <xf numFmtId="0" fontId="16" fillId="7" borderId="8" xfId="0" applyFont="1" applyFill="1" applyBorder="1" applyAlignment="1" applyProtection="1">
      <alignment horizontal="left"/>
      <protection locked="0"/>
    </xf>
    <xf numFmtId="0" fontId="26" fillId="7" borderId="14" xfId="0" applyFont="1" applyFill="1" applyBorder="1" applyAlignment="1" applyProtection="1">
      <alignment horizontal="left"/>
      <protection locked="0"/>
    </xf>
    <xf numFmtId="0" fontId="26" fillId="7" borderId="10" xfId="0" applyFont="1" applyFill="1" applyBorder="1" applyAlignment="1" applyProtection="1">
      <alignment horizontal="left"/>
      <protection locked="0"/>
    </xf>
    <xf numFmtId="0" fontId="26" fillId="7" borderId="11" xfId="0" applyFont="1" applyFill="1" applyBorder="1" applyAlignment="1" applyProtection="1">
      <alignment horizontal="left"/>
      <protection locked="0"/>
    </xf>
    <xf numFmtId="0" fontId="0" fillId="7" borderId="5" xfId="0" applyFill="1" applyBorder="1" applyProtection="1">
      <protection locked="0"/>
    </xf>
    <xf numFmtId="0" fontId="0" fillId="7" borderId="2" xfId="0" applyFill="1" applyBorder="1" applyProtection="1">
      <protection locked="0"/>
    </xf>
    <xf numFmtId="0" fontId="5" fillId="7" borderId="42" xfId="0" applyFont="1" applyFill="1" applyBorder="1" applyAlignment="1" applyProtection="1">
      <alignment horizontal="left"/>
      <protection locked="0"/>
    </xf>
    <xf numFmtId="0" fontId="5" fillId="7" borderId="10" xfId="0" applyFont="1" applyFill="1" applyBorder="1" applyAlignment="1" applyProtection="1">
      <alignment horizontal="left"/>
      <protection locked="0"/>
    </xf>
    <xf numFmtId="0" fontId="5" fillId="7" borderId="11" xfId="0" applyFont="1" applyFill="1" applyBorder="1" applyAlignment="1" applyProtection="1">
      <alignment horizontal="left"/>
      <protection locked="0"/>
    </xf>
    <xf numFmtId="0" fontId="59" fillId="0" borderId="42" xfId="8" applyFont="1" applyBorder="1" applyAlignment="1">
      <alignment horizontal="center"/>
    </xf>
    <xf numFmtId="0" fontId="59" fillId="0" borderId="10" xfId="8" applyFont="1" applyBorder="1" applyAlignment="1">
      <alignment horizontal="center"/>
    </xf>
    <xf numFmtId="0" fontId="59" fillId="0" borderId="45" xfId="8" applyFont="1" applyBorder="1" applyAlignment="1">
      <alignment horizontal="center"/>
    </xf>
    <xf numFmtId="0" fontId="26" fillId="13" borderId="14" xfId="0" applyFont="1" applyFill="1" applyBorder="1" applyAlignment="1">
      <alignment horizontal="left"/>
    </xf>
    <xf numFmtId="0" fontId="26" fillId="13" borderId="10" xfId="0" applyFont="1" applyFill="1" applyBorder="1" applyAlignment="1">
      <alignment horizontal="left"/>
    </xf>
    <xf numFmtId="0" fontId="26" fillId="13" borderId="11" xfId="0" applyFont="1" applyFill="1" applyBorder="1" applyAlignment="1">
      <alignment horizontal="left"/>
    </xf>
    <xf numFmtId="0" fontId="26" fillId="0" borderId="32" xfId="0" applyFont="1" applyBorder="1" applyAlignment="1">
      <alignment horizontal="left"/>
    </xf>
    <xf numFmtId="0" fontId="26" fillId="0" borderId="21" xfId="0" applyFont="1" applyBorder="1" applyAlignment="1">
      <alignment horizontal="left"/>
    </xf>
    <xf numFmtId="0" fontId="26" fillId="0" borderId="54" xfId="0" applyFont="1" applyBorder="1" applyAlignment="1">
      <alignment horizontal="left"/>
    </xf>
    <xf numFmtId="0" fontId="27" fillId="3" borderId="18" xfId="0" applyFont="1" applyFill="1" applyBorder="1"/>
    <xf numFmtId="0" fontId="27" fillId="3" borderId="19" xfId="0" applyFont="1" applyFill="1" applyBorder="1"/>
    <xf numFmtId="0" fontId="27" fillId="3" borderId="35" xfId="0" applyFont="1" applyFill="1" applyBorder="1"/>
    <xf numFmtId="0" fontId="1" fillId="7" borderId="14" xfId="0" applyFont="1" applyFill="1" applyBorder="1" applyAlignment="1" applyProtection="1">
      <alignment horizontal="left"/>
      <protection locked="0"/>
    </xf>
    <xf numFmtId="0" fontId="2" fillId="7" borderId="10" xfId="0" applyFont="1" applyFill="1" applyBorder="1" applyAlignment="1" applyProtection="1">
      <alignment horizontal="left"/>
      <protection locked="0"/>
    </xf>
    <xf numFmtId="0" fontId="2" fillId="7" borderId="11" xfId="0" applyFont="1" applyFill="1" applyBorder="1" applyAlignment="1" applyProtection="1">
      <alignment horizontal="left"/>
      <protection locked="0"/>
    </xf>
    <xf numFmtId="0" fontId="2" fillId="7" borderId="14" xfId="0" applyFont="1" applyFill="1" applyBorder="1" applyAlignment="1" applyProtection="1">
      <alignment horizontal="left"/>
      <protection locked="0"/>
    </xf>
    <xf numFmtId="0" fontId="6" fillId="7" borderId="14" xfId="0" applyFont="1" applyFill="1" applyBorder="1" applyAlignment="1" applyProtection="1">
      <alignment horizontal="left"/>
      <protection locked="0"/>
    </xf>
    <xf numFmtId="0" fontId="6" fillId="7" borderId="10" xfId="0" applyFont="1" applyFill="1" applyBorder="1" applyAlignment="1" applyProtection="1">
      <alignment horizontal="left"/>
      <protection locked="0"/>
    </xf>
    <xf numFmtId="0" fontId="6" fillId="7" borderId="11" xfId="0" applyFont="1" applyFill="1" applyBorder="1" applyAlignment="1" applyProtection="1">
      <alignment horizontal="left"/>
      <protection locked="0"/>
    </xf>
    <xf numFmtId="0" fontId="6" fillId="7" borderId="5" xfId="0" applyFont="1" applyFill="1" applyBorder="1" applyAlignment="1" applyProtection="1">
      <alignment horizontal="left"/>
      <protection locked="0"/>
    </xf>
    <xf numFmtId="0" fontId="6" fillId="7" borderId="2" xfId="0" applyFont="1" applyFill="1" applyBorder="1" applyAlignment="1" applyProtection="1">
      <alignment horizontal="left"/>
      <protection locked="0"/>
    </xf>
    <xf numFmtId="0" fontId="9" fillId="7" borderId="5" xfId="0" applyFont="1" applyFill="1" applyBorder="1" applyAlignment="1" applyProtection="1">
      <alignment horizontal="left"/>
      <protection locked="0"/>
    </xf>
    <xf numFmtId="0" fontId="9" fillId="7" borderId="2" xfId="0" applyFont="1" applyFill="1" applyBorder="1" applyAlignment="1" applyProtection="1">
      <alignment horizontal="left"/>
      <protection locked="0"/>
    </xf>
    <xf numFmtId="0" fontId="27" fillId="0" borderId="0" xfId="0" applyFont="1" applyAlignment="1">
      <alignment horizontal="center"/>
    </xf>
    <xf numFmtId="0" fontId="35" fillId="5" borderId="0" xfId="0" applyFont="1" applyFill="1" applyAlignment="1">
      <alignment horizontal="center"/>
    </xf>
    <xf numFmtId="0" fontId="21" fillId="0" borderId="2" xfId="0" applyFont="1" applyBorder="1" applyAlignment="1">
      <alignment horizontal="right"/>
    </xf>
    <xf numFmtId="0" fontId="2" fillId="0" borderId="2" xfId="0" applyFont="1" applyBorder="1" applyAlignment="1">
      <alignment horizontal="right"/>
    </xf>
    <xf numFmtId="0" fontId="47" fillId="12" borderId="25" xfId="0" applyFont="1" applyFill="1" applyBorder="1" applyAlignment="1">
      <alignment horizontal="center" wrapText="1"/>
    </xf>
    <xf numFmtId="0" fontId="47" fillId="12" borderId="26" xfId="0" applyFont="1" applyFill="1" applyBorder="1" applyAlignment="1">
      <alignment horizontal="center" wrapText="1"/>
    </xf>
    <xf numFmtId="0" fontId="47" fillId="12" borderId="27" xfId="0" applyFont="1" applyFill="1" applyBorder="1" applyAlignment="1">
      <alignment horizontal="center" wrapText="1"/>
    </xf>
    <xf numFmtId="0" fontId="26" fillId="0" borderId="6" xfId="0" applyFont="1" applyBorder="1" applyAlignment="1">
      <alignment horizontal="center"/>
    </xf>
    <xf numFmtId="0" fontId="26" fillId="0" borderId="2" xfId="0" applyFont="1" applyBorder="1" applyAlignment="1">
      <alignment horizontal="right"/>
    </xf>
    <xf numFmtId="0" fontId="5" fillId="0" borderId="14" xfId="0" applyFont="1" applyBorder="1" applyAlignment="1">
      <alignment horizontal="left" indent="2"/>
    </xf>
    <xf numFmtId="0" fontId="5" fillId="0" borderId="10" xfId="0" applyFont="1" applyBorder="1" applyAlignment="1">
      <alignment horizontal="left" indent="2"/>
    </xf>
    <xf numFmtId="0" fontId="5" fillId="0" borderId="11" xfId="0" applyFont="1" applyBorder="1" applyAlignment="1">
      <alignment horizontal="left" indent="2"/>
    </xf>
    <xf numFmtId="0" fontId="0" fillId="2" borderId="7" xfId="0" applyFill="1" applyBorder="1" applyAlignment="1">
      <alignment horizontal="left"/>
    </xf>
    <xf numFmtId="0" fontId="0" fillId="2" borderId="8" xfId="0" applyFill="1" applyBorder="1" applyAlignment="1">
      <alignment horizontal="left"/>
    </xf>
    <xf numFmtId="0" fontId="1" fillId="0" borderId="14" xfId="0" applyFont="1" applyBorder="1" applyAlignment="1">
      <alignment horizontal="left" indent="2"/>
    </xf>
    <xf numFmtId="0" fontId="5" fillId="0" borderId="46" xfId="0" applyFont="1" applyBorder="1" applyAlignment="1">
      <alignment horizontal="left" indent="2"/>
    </xf>
    <xf numFmtId="0" fontId="5" fillId="0" borderId="37" xfId="0" applyFont="1" applyBorder="1" applyAlignment="1">
      <alignment horizontal="left" indent="2"/>
    </xf>
    <xf numFmtId="0" fontId="5" fillId="0" borderId="38" xfId="0" applyFont="1" applyBorder="1" applyAlignment="1">
      <alignment horizontal="left" indent="2"/>
    </xf>
    <xf numFmtId="0" fontId="5" fillId="0" borderId="53" xfId="0" applyFont="1" applyBorder="1" applyAlignment="1">
      <alignment horizontal="left" indent="2"/>
    </xf>
    <xf numFmtId="0" fontId="5" fillId="0" borderId="1" xfId="0" applyFont="1" applyBorder="1" applyAlignment="1">
      <alignment horizontal="left" indent="2"/>
    </xf>
    <xf numFmtId="0" fontId="5" fillId="0" borderId="41" xfId="0" applyFont="1" applyBorder="1" applyAlignment="1">
      <alignment horizontal="left" indent="2"/>
    </xf>
    <xf numFmtId="0" fontId="0" fillId="0" borderId="14"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5" fillId="0" borderId="14" xfId="0" applyFont="1"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0" fontId="3" fillId="0" borderId="2" xfId="0" applyFont="1" applyBorder="1" applyAlignment="1">
      <alignment horizontal="left"/>
    </xf>
    <xf numFmtId="0" fontId="2" fillId="0" borderId="2" xfId="7" applyBorder="1"/>
    <xf numFmtId="0" fontId="57" fillId="6" borderId="2" xfId="8" applyFont="1" applyFill="1" applyBorder="1" applyAlignment="1">
      <alignment horizontal="left" wrapText="1"/>
    </xf>
    <xf numFmtId="0" fontId="2" fillId="0" borderId="42" xfId="7" applyBorder="1" applyAlignment="1">
      <alignment horizontal="left" indent="2"/>
    </xf>
    <xf numFmtId="0" fontId="2" fillId="0" borderId="10" xfId="7" applyBorder="1" applyAlignment="1">
      <alignment horizontal="left" indent="2"/>
    </xf>
    <xf numFmtId="0" fontId="2" fillId="0" borderId="11" xfId="7" applyBorder="1" applyAlignment="1">
      <alignment horizontal="left" indent="2"/>
    </xf>
    <xf numFmtId="0" fontId="34" fillId="0" borderId="42" xfId="8" applyFont="1" applyBorder="1" applyAlignment="1">
      <alignment horizontal="left"/>
    </xf>
    <xf numFmtId="0" fontId="34" fillId="0" borderId="10" xfId="8" applyFont="1" applyBorder="1" applyAlignment="1">
      <alignment horizontal="left"/>
    </xf>
    <xf numFmtId="0" fontId="34" fillId="0" borderId="11" xfId="8" applyFont="1" applyBorder="1" applyAlignment="1">
      <alignment horizontal="left"/>
    </xf>
    <xf numFmtId="0" fontId="57" fillId="6" borderId="42" xfId="8" applyFont="1" applyFill="1" applyBorder="1" applyAlignment="1">
      <alignment horizontal="right" wrapText="1"/>
    </xf>
    <xf numFmtId="0" fontId="57" fillId="6" borderId="11" xfId="8" applyFont="1" applyFill="1" applyBorder="1" applyAlignment="1">
      <alignment horizontal="right" wrapText="1"/>
    </xf>
    <xf numFmtId="164" fontId="2" fillId="7" borderId="42" xfId="10" applyNumberFormat="1" applyFont="1" applyFill="1" applyBorder="1" applyAlignment="1" applyProtection="1">
      <alignment horizontal="right"/>
      <protection locked="0"/>
    </xf>
    <xf numFmtId="164" fontId="2" fillId="7" borderId="11" xfId="10" applyNumberFormat="1" applyFont="1" applyFill="1" applyBorder="1" applyAlignment="1" applyProtection="1">
      <alignment horizontal="right"/>
      <protection locked="0"/>
    </xf>
    <xf numFmtId="0" fontId="57" fillId="0" borderId="42" xfId="8" applyFont="1" applyBorder="1" applyAlignment="1">
      <alignment horizontal="left"/>
    </xf>
    <xf numFmtId="0" fontId="57" fillId="0" borderId="10" xfId="8" applyFont="1" applyBorder="1" applyAlignment="1">
      <alignment horizontal="left"/>
    </xf>
    <xf numFmtId="0" fontId="57" fillId="0" borderId="11" xfId="8" applyFont="1" applyBorder="1" applyAlignment="1">
      <alignment horizontal="left"/>
    </xf>
    <xf numFmtId="0" fontId="2" fillId="0" borderId="2" xfId="7" applyBorder="1" applyAlignment="1">
      <alignment horizontal="left" indent="2"/>
    </xf>
    <xf numFmtId="0" fontId="57" fillId="0" borderId="36" xfId="8" applyFont="1" applyBorder="1" applyAlignment="1">
      <alignment horizontal="left"/>
    </xf>
    <xf numFmtId="0" fontId="57" fillId="0" borderId="37" xfId="8" applyFont="1" applyBorder="1" applyAlignment="1">
      <alignment horizontal="left"/>
    </xf>
    <xf numFmtId="0" fontId="57" fillId="0" borderId="38" xfId="8" applyFont="1" applyBorder="1" applyAlignment="1">
      <alignment horizontal="left"/>
    </xf>
    <xf numFmtId="0" fontId="57" fillId="6" borderId="42" xfId="8" applyFont="1" applyFill="1" applyBorder="1" applyAlignment="1">
      <alignment horizontal="left" wrapText="1"/>
    </xf>
    <xf numFmtId="0" fontId="57" fillId="6" borderId="10" xfId="8" applyFont="1" applyFill="1" applyBorder="1" applyAlignment="1">
      <alignment horizontal="left" wrapText="1"/>
    </xf>
    <xf numFmtId="0" fontId="57" fillId="6" borderId="11" xfId="8" applyFont="1" applyFill="1" applyBorder="1" applyAlignment="1">
      <alignment horizontal="left" wrapText="1"/>
    </xf>
    <xf numFmtId="0" fontId="57" fillId="6" borderId="52" xfId="8" applyFont="1" applyFill="1" applyBorder="1" applyAlignment="1">
      <alignment horizontal="center" vertical="center" wrapText="1"/>
    </xf>
    <xf numFmtId="0" fontId="57" fillId="6" borderId="12" xfId="8" applyFont="1" applyFill="1" applyBorder="1" applyAlignment="1">
      <alignment horizontal="center" vertical="center" wrapText="1"/>
    </xf>
    <xf numFmtId="0" fontId="41" fillId="0" borderId="2" xfId="4" applyFont="1" applyBorder="1" applyAlignment="1">
      <alignment horizontal="left" vertical="center"/>
    </xf>
    <xf numFmtId="0" fontId="44" fillId="0" borderId="2" xfId="4" applyFont="1" applyBorder="1" applyAlignment="1">
      <alignment horizontal="left" vertical="center"/>
    </xf>
    <xf numFmtId="44" fontId="41" fillId="0" borderId="2" xfId="6" applyFont="1" applyBorder="1" applyAlignment="1">
      <alignment horizontal="left" vertical="center"/>
    </xf>
    <xf numFmtId="44" fontId="47" fillId="0" borderId="2" xfId="6" applyFont="1" applyBorder="1" applyAlignment="1">
      <alignment horizontal="left" vertical="center"/>
    </xf>
    <xf numFmtId="0" fontId="41" fillId="9" borderId="36" xfId="4" applyFont="1" applyFill="1" applyBorder="1" applyAlignment="1">
      <alignment horizontal="center" vertical="center"/>
    </xf>
    <xf numFmtId="0" fontId="41" fillId="9" borderId="38" xfId="4" applyFont="1" applyFill="1" applyBorder="1" applyAlignment="1">
      <alignment horizontal="center" vertical="center"/>
    </xf>
    <xf numFmtId="0" fontId="41" fillId="9" borderId="40" xfId="4" applyFont="1" applyFill="1" applyBorder="1" applyAlignment="1">
      <alignment horizontal="center" vertical="center"/>
    </xf>
    <xf numFmtId="0" fontId="41" fillId="9" borderId="41" xfId="4" applyFont="1" applyFill="1" applyBorder="1" applyAlignment="1">
      <alignment horizontal="center" vertical="center"/>
    </xf>
    <xf numFmtId="0" fontId="44" fillId="0" borderId="42" xfId="4" applyFont="1" applyBorder="1" applyAlignment="1">
      <alignment horizontal="center" vertical="center"/>
    </xf>
    <xf numFmtId="0" fontId="44" fillId="0" borderId="11" xfId="4" applyFont="1" applyBorder="1" applyAlignment="1">
      <alignment horizontal="center" vertical="center"/>
    </xf>
    <xf numFmtId="0" fontId="41" fillId="0" borderId="42" xfId="4" applyFont="1" applyBorder="1" applyAlignment="1">
      <alignment horizontal="left" vertical="center"/>
    </xf>
    <xf numFmtId="0" fontId="41" fillId="0" borderId="10" xfId="4" applyFont="1" applyBorder="1" applyAlignment="1">
      <alignment horizontal="left" vertical="center"/>
    </xf>
    <xf numFmtId="0" fontId="41" fillId="0" borderId="11" xfId="4" applyFont="1" applyBorder="1" applyAlignment="1">
      <alignment horizontal="left" vertical="center"/>
    </xf>
    <xf numFmtId="0" fontId="44" fillId="0" borderId="42" xfId="4" applyFont="1" applyBorder="1" applyAlignment="1">
      <alignment horizontal="left" vertical="center"/>
    </xf>
    <xf numFmtId="0" fontId="44" fillId="0" borderId="10" xfId="4" applyFont="1" applyBorder="1" applyAlignment="1">
      <alignment horizontal="left" vertical="center"/>
    </xf>
    <xf numFmtId="0" fontId="44" fillId="0" borderId="11" xfId="4" applyFont="1" applyBorder="1" applyAlignment="1">
      <alignment horizontal="left" vertical="center"/>
    </xf>
    <xf numFmtId="0" fontId="10" fillId="0" borderId="5" xfId="0" applyFont="1" applyBorder="1" applyAlignment="1">
      <alignment horizontal="left"/>
    </xf>
    <xf numFmtId="0" fontId="10" fillId="0" borderId="2" xfId="0" applyFont="1" applyBorder="1" applyAlignment="1">
      <alignment horizontal="left"/>
    </xf>
    <xf numFmtId="0" fontId="10" fillId="0" borderId="14" xfId="0" applyFont="1" applyBorder="1" applyAlignment="1">
      <alignment horizontal="left"/>
    </xf>
    <xf numFmtId="0" fontId="10" fillId="0" borderId="10" xfId="0" applyFont="1" applyBorder="1" applyAlignment="1">
      <alignment horizontal="left"/>
    </xf>
    <xf numFmtId="0" fontId="10" fillId="0" borderId="11" xfId="0" applyFont="1" applyBorder="1" applyAlignment="1">
      <alignment horizontal="left"/>
    </xf>
    <xf numFmtId="0" fontId="10" fillId="0" borderId="18" xfId="0" applyFont="1" applyBorder="1" applyAlignment="1">
      <alignment horizontal="center"/>
    </xf>
    <xf numFmtId="0" fontId="10" fillId="0" borderId="19" xfId="0" applyFont="1" applyBorder="1" applyAlignment="1">
      <alignment horizontal="center"/>
    </xf>
    <xf numFmtId="0" fontId="10" fillId="0" borderId="35" xfId="0" applyFont="1" applyBorder="1" applyAlignment="1">
      <alignment horizontal="center"/>
    </xf>
    <xf numFmtId="0" fontId="2" fillId="0" borderId="15" xfId="0" applyFont="1" applyBorder="1" applyAlignment="1">
      <alignment horizontal="left"/>
    </xf>
    <xf numFmtId="0" fontId="10" fillId="0" borderId="17" xfId="0" applyFont="1" applyBorder="1" applyAlignment="1">
      <alignment horizontal="left"/>
    </xf>
    <xf numFmtId="0" fontId="10" fillId="0" borderId="16" xfId="0" applyFont="1" applyBorder="1" applyAlignment="1">
      <alignment horizontal="left"/>
    </xf>
    <xf numFmtId="0" fontId="10" fillId="0" borderId="5" xfId="0" applyFont="1" applyBorder="1" applyAlignment="1">
      <alignment horizontal="center"/>
    </xf>
    <xf numFmtId="0" fontId="10" fillId="0" borderId="2" xfId="0" applyFont="1" applyBorder="1" applyAlignment="1">
      <alignment horizontal="center"/>
    </xf>
    <xf numFmtId="0" fontId="39" fillId="0" borderId="15" xfId="0" applyFont="1" applyBorder="1" applyAlignment="1">
      <alignment horizontal="left"/>
    </xf>
    <xf numFmtId="0" fontId="39" fillId="0" borderId="16" xfId="0" applyFont="1" applyBorder="1" applyAlignment="1">
      <alignment horizontal="left"/>
    </xf>
    <xf numFmtId="0" fontId="10" fillId="0" borderId="14" xfId="0" applyFont="1" applyBorder="1" applyAlignment="1">
      <alignment horizontal="center"/>
    </xf>
    <xf numFmtId="0" fontId="10" fillId="0" borderId="10" xfId="0" applyFont="1" applyBorder="1" applyAlignment="1">
      <alignment horizontal="center"/>
    </xf>
    <xf numFmtId="0" fontId="10" fillId="0" borderId="11" xfId="0" applyFont="1" applyBorder="1" applyAlignment="1">
      <alignment horizontal="center"/>
    </xf>
    <xf numFmtId="0" fontId="39" fillId="8" borderId="18" xfId="0" applyFont="1" applyFill="1" applyBorder="1" applyAlignment="1">
      <alignment horizontal="left"/>
    </xf>
    <xf numFmtId="0" fontId="39" fillId="8" borderId="35" xfId="0" applyFont="1" applyFill="1" applyBorder="1" applyAlignment="1">
      <alignment horizontal="left"/>
    </xf>
    <xf numFmtId="0" fontId="39" fillId="0" borderId="14" xfId="0" applyFont="1" applyBorder="1" applyAlignment="1">
      <alignment horizontal="left"/>
    </xf>
    <xf numFmtId="0" fontId="39" fillId="0" borderId="11" xfId="0" applyFont="1" applyBorder="1" applyAlignment="1">
      <alignment horizontal="left"/>
    </xf>
    <xf numFmtId="0" fontId="10" fillId="0" borderId="15" xfId="0" applyFont="1" applyBorder="1" applyAlignment="1">
      <alignment horizontal="left"/>
    </xf>
    <xf numFmtId="0" fontId="34" fillId="7" borderId="42" xfId="8" applyFont="1" applyFill="1" applyBorder="1" applyAlignment="1">
      <alignment horizontal="left"/>
    </xf>
    <xf numFmtId="0" fontId="34" fillId="7" borderId="10" xfId="8" applyFont="1" applyFill="1" applyBorder="1" applyAlignment="1">
      <alignment horizontal="left"/>
    </xf>
    <xf numFmtId="0" fontId="34" fillId="7" borderId="11" xfId="8" applyFont="1" applyFill="1" applyBorder="1" applyAlignment="1">
      <alignment horizontal="left"/>
    </xf>
    <xf numFmtId="0" fontId="0" fillId="0" borderId="7" xfId="0" applyBorder="1"/>
    <xf numFmtId="0" fontId="0" fillId="0" borderId="8" xfId="0" applyBorder="1"/>
    <xf numFmtId="164" fontId="34" fillId="7" borderId="42" xfId="1" applyNumberFormat="1" applyFont="1" applyFill="1" applyBorder="1" applyAlignment="1" applyProtection="1">
      <alignment horizontal="right"/>
      <protection locked="0"/>
    </xf>
    <xf numFmtId="164" fontId="34" fillId="7" borderId="45" xfId="1" applyNumberFormat="1" applyFont="1" applyFill="1" applyBorder="1" applyAlignment="1" applyProtection="1">
      <alignment horizontal="right"/>
      <protection locked="0"/>
    </xf>
    <xf numFmtId="43" fontId="34" fillId="7" borderId="42" xfId="1" applyFont="1" applyFill="1" applyBorder="1" applyAlignment="1" applyProtection="1">
      <alignment horizontal="right"/>
      <protection locked="0"/>
    </xf>
    <xf numFmtId="43" fontId="34" fillId="7" borderId="45" xfId="1" applyFont="1" applyFill="1" applyBorder="1" applyAlignment="1" applyProtection="1">
      <alignment horizontal="right"/>
      <protection locked="0"/>
    </xf>
    <xf numFmtId="164" fontId="34" fillId="7" borderId="34" xfId="1" applyNumberFormat="1" applyFont="1" applyFill="1" applyBorder="1" applyAlignment="1" applyProtection="1">
      <alignment horizontal="right"/>
      <protection locked="0"/>
    </xf>
    <xf numFmtId="164" fontId="34" fillId="7" borderId="44" xfId="1" applyNumberFormat="1" applyFont="1" applyFill="1" applyBorder="1" applyAlignment="1" applyProtection="1">
      <alignment horizontal="right"/>
      <protection locked="0"/>
    </xf>
    <xf numFmtId="164" fontId="34" fillId="0" borderId="42" xfId="1" applyNumberFormat="1" applyFont="1" applyBorder="1" applyAlignment="1">
      <alignment horizontal="right"/>
    </xf>
    <xf numFmtId="164" fontId="34" fillId="0" borderId="11" xfId="1" applyNumberFormat="1" applyFont="1" applyBorder="1" applyAlignment="1">
      <alignment horizontal="right"/>
    </xf>
    <xf numFmtId="164" fontId="34" fillId="7" borderId="11" xfId="1" applyNumberFormat="1" applyFont="1" applyFill="1" applyBorder="1" applyAlignment="1" applyProtection="1">
      <alignment horizontal="right"/>
      <protection locked="0"/>
    </xf>
    <xf numFmtId="164" fontId="34" fillId="0" borderId="45" xfId="1" applyNumberFormat="1" applyFont="1" applyBorder="1" applyAlignment="1">
      <alignment horizontal="right"/>
    </xf>
    <xf numFmtId="9" fontId="34" fillId="7" borderId="42" xfId="2" applyFont="1" applyFill="1" applyBorder="1" applyAlignment="1" applyProtection="1">
      <alignment horizontal="right"/>
      <protection locked="0"/>
    </xf>
    <xf numFmtId="9" fontId="34" fillId="7" borderId="11" xfId="2" applyFont="1" applyFill="1" applyBorder="1" applyAlignment="1" applyProtection="1">
      <alignment horizontal="right"/>
      <protection locked="0"/>
    </xf>
    <xf numFmtId="9" fontId="34" fillId="7" borderId="45" xfId="2" applyFont="1" applyFill="1" applyBorder="1" applyAlignment="1" applyProtection="1">
      <alignment horizontal="right"/>
      <protection locked="0"/>
    </xf>
    <xf numFmtId="43" fontId="34" fillId="0" borderId="34" xfId="1" applyFont="1" applyBorder="1" applyAlignment="1">
      <alignment horizontal="center"/>
    </xf>
    <xf numFmtId="43" fontId="34" fillId="0" borderId="16" xfId="1" applyFont="1" applyBorder="1" applyAlignment="1">
      <alignment horizontal="center"/>
    </xf>
    <xf numFmtId="43" fontId="34" fillId="0" borderId="42" xfId="1" applyFont="1" applyBorder="1" applyAlignment="1">
      <alignment horizontal="center"/>
    </xf>
    <xf numFmtId="43" fontId="34" fillId="0" borderId="11" xfId="1" applyFont="1" applyBorder="1" applyAlignment="1">
      <alignment horizontal="center"/>
    </xf>
    <xf numFmtId="43" fontId="34" fillId="0" borderId="45" xfId="1" applyFont="1" applyBorder="1" applyAlignment="1">
      <alignment horizontal="center"/>
    </xf>
    <xf numFmtId="0" fontId="10" fillId="0" borderId="7" xfId="0" applyFont="1" applyBorder="1" applyAlignment="1">
      <alignment horizontal="left"/>
    </xf>
    <xf numFmtId="0" fontId="10" fillId="0" borderId="8" xfId="0" applyFont="1" applyBorder="1" applyAlignment="1">
      <alignment horizontal="left"/>
    </xf>
    <xf numFmtId="43" fontId="34" fillId="0" borderId="44" xfId="1" applyFont="1" applyBorder="1" applyAlignment="1">
      <alignment horizontal="center"/>
    </xf>
    <xf numFmtId="0" fontId="26" fillId="4" borderId="40" xfId="0" applyFont="1" applyFill="1" applyBorder="1" applyAlignment="1">
      <alignment horizontal="right"/>
    </xf>
    <xf numFmtId="0" fontId="26" fillId="4" borderId="41" xfId="0" applyFont="1" applyFill="1" applyBorder="1" applyAlignment="1">
      <alignment horizontal="right"/>
    </xf>
    <xf numFmtId="0" fontId="26" fillId="4" borderId="43" xfId="0" applyFont="1" applyFill="1" applyBorder="1" applyAlignment="1">
      <alignment horizontal="right"/>
    </xf>
    <xf numFmtId="0" fontId="26" fillId="4" borderId="23" xfId="0" applyFont="1" applyFill="1" applyBorder="1" applyAlignment="1">
      <alignment horizontal="left"/>
    </xf>
    <xf numFmtId="0" fontId="26" fillId="4" borderId="12" xfId="0" applyFont="1" applyFill="1" applyBorder="1" applyAlignment="1">
      <alignment horizontal="left"/>
    </xf>
    <xf numFmtId="0" fontId="28" fillId="0" borderId="0" xfId="0" applyFont="1" applyAlignment="1">
      <alignment horizontal="center"/>
    </xf>
  </cellXfs>
  <cellStyles count="14">
    <cellStyle name="Comma" xfId="1" builtinId="3"/>
    <cellStyle name="Comma 3" xfId="10" xr:uid="{C4F47E3E-F6F7-4DD7-9358-D3B385C07CAB}"/>
    <cellStyle name="Currency" xfId="3" builtinId="4"/>
    <cellStyle name="Currency 3" xfId="6" xr:uid="{00000000-0005-0000-0000-000002000000}"/>
    <cellStyle name="Hyperlink" xfId="11" builtinId="8"/>
    <cellStyle name="Normal" xfId="0" builtinId="0"/>
    <cellStyle name="Normal 2" xfId="4" xr:uid="{00000000-0005-0000-0000-000004000000}"/>
    <cellStyle name="Normal 2 2" xfId="8" xr:uid="{D9CAB308-6520-4761-A468-6BCBA37B83BE}"/>
    <cellStyle name="Normal 3" xfId="7" xr:uid="{D62DC452-509D-48DE-8362-33A58FA9B913}"/>
    <cellStyle name="Normal 3 2" xfId="13" xr:uid="{DFFFF99D-27B8-4E98-8E85-B00CC4A22401}"/>
    <cellStyle name="Normal 4" xfId="12" xr:uid="{9B0B68D3-5B19-4239-8CFE-BAD176050D4A}"/>
    <cellStyle name="Percent" xfId="2" builtinId="5"/>
    <cellStyle name="Percent 2" xfId="9" xr:uid="{236A0203-0AAD-4F2B-BB8B-32BAB9AEAC1E}"/>
    <cellStyle name="Percent 3" xfId="5" xr:uid="{00000000-0005-0000-0000-000006000000}"/>
  </cellStyles>
  <dxfs count="15">
    <dxf>
      <font>
        <color rgb="FF9C0006"/>
      </font>
    </dxf>
    <dxf>
      <font>
        <color rgb="FF9C0006"/>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F7E1"/>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Pro Forma Income and Expenses</a:t>
            </a:r>
          </a:p>
        </c:rich>
      </c:tx>
      <c:overlay val="0"/>
    </c:title>
    <c:autoTitleDeleted val="0"/>
    <c:plotArea>
      <c:layout/>
      <c:lineChart>
        <c:grouping val="standard"/>
        <c:varyColors val="0"/>
        <c:ser>
          <c:idx val="1"/>
          <c:order val="0"/>
          <c:tx>
            <c:strRef>
              <c:f>'Stress Test'!$A$42</c:f>
              <c:strCache>
                <c:ptCount val="1"/>
                <c:pt idx="0">
                  <c:v>Total Income</c:v>
                </c:pt>
              </c:strCache>
            </c:strRef>
          </c:tx>
          <c:spPr>
            <a:ln w="38100">
              <a:solidFill>
                <a:schemeClr val="tx2"/>
              </a:solidFill>
            </a:ln>
          </c:spPr>
          <c:marker>
            <c:symbol val="none"/>
          </c:marker>
          <c:val>
            <c:numRef>
              <c:f>'Stress Test'!$C$42:$Q$42</c:f>
              <c:numCache>
                <c:formatCode>_(* #,##0_);_(* \(#,##0\);_(* "-"??_);_(@_)</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0-99A3-4E85-A1B9-1F628BD6AEF8}"/>
            </c:ext>
          </c:extLst>
        </c:ser>
        <c:ser>
          <c:idx val="2"/>
          <c:order val="1"/>
          <c:tx>
            <c:strRef>
              <c:f>'Stress Test'!$A$47</c:f>
              <c:strCache>
                <c:ptCount val="1"/>
                <c:pt idx="0">
                  <c:v>Total Expenses</c:v>
                </c:pt>
              </c:strCache>
            </c:strRef>
          </c:tx>
          <c:spPr>
            <a:ln w="38100">
              <a:solidFill>
                <a:schemeClr val="accent2"/>
              </a:solidFill>
            </a:ln>
          </c:spPr>
          <c:marker>
            <c:symbol val="none"/>
          </c:marker>
          <c:val>
            <c:numRef>
              <c:f>'Stress Test'!$C$47:$Q$47</c:f>
              <c:numCache>
                <c:formatCode>_(* #,##0_);_(* \(#,##0\);_(* "-"??_);_(@_)</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1-99A3-4E85-A1B9-1F628BD6AEF8}"/>
            </c:ext>
          </c:extLst>
        </c:ser>
        <c:dLbls>
          <c:showLegendKey val="0"/>
          <c:showVal val="0"/>
          <c:showCatName val="0"/>
          <c:showSerName val="0"/>
          <c:showPercent val="0"/>
          <c:showBubbleSize val="0"/>
        </c:dLbls>
        <c:smooth val="0"/>
        <c:axId val="283691200"/>
        <c:axId val="283691592"/>
      </c:lineChart>
      <c:catAx>
        <c:axId val="283691200"/>
        <c:scaling>
          <c:orientation val="minMax"/>
        </c:scaling>
        <c:delete val="0"/>
        <c:axPos val="b"/>
        <c:title>
          <c:tx>
            <c:rich>
              <a:bodyPr/>
              <a:lstStyle/>
              <a:p>
                <a:pPr>
                  <a:defRPr/>
                </a:pPr>
                <a:r>
                  <a:rPr lang="en-US"/>
                  <a:t>Year</a:t>
                </a:r>
              </a:p>
            </c:rich>
          </c:tx>
          <c:overlay val="0"/>
        </c:title>
        <c:majorTickMark val="in"/>
        <c:minorTickMark val="none"/>
        <c:tickLblPos val="low"/>
        <c:crossAx val="283691592"/>
        <c:crosses val="autoZero"/>
        <c:auto val="1"/>
        <c:lblAlgn val="ctr"/>
        <c:lblOffset val="100"/>
        <c:noMultiLvlLbl val="0"/>
      </c:catAx>
      <c:valAx>
        <c:axId val="283691592"/>
        <c:scaling>
          <c:orientation val="minMax"/>
        </c:scaling>
        <c:delete val="0"/>
        <c:axPos val="l"/>
        <c:majorGridlines/>
        <c:title>
          <c:tx>
            <c:rich>
              <a:bodyPr rot="-5400000" vert="horz"/>
              <a:lstStyle/>
              <a:p>
                <a:pPr>
                  <a:defRPr/>
                </a:pPr>
                <a:r>
                  <a:rPr lang="en-US"/>
                  <a:t>Dollars</a:t>
                </a:r>
              </a:p>
            </c:rich>
          </c:tx>
          <c:overlay val="0"/>
        </c:title>
        <c:numFmt formatCode="_(* #,##0_);_(* \(#,##0\);_(* &quot;-&quot;??_);_(@_)" sourceLinked="1"/>
        <c:majorTickMark val="out"/>
        <c:minorTickMark val="none"/>
        <c:tickLblPos val="nextTo"/>
        <c:spPr>
          <a:ln/>
        </c:spPr>
        <c:crossAx val="283691200"/>
        <c:crosses val="autoZero"/>
        <c:crossBetween val="midCat"/>
      </c:valAx>
    </c:plotArea>
    <c:legend>
      <c:legendPos val="b"/>
      <c:overlay val="0"/>
    </c:legend>
    <c:plotVisOnly val="1"/>
    <c:dispBlanksAs val="gap"/>
    <c:showDLblsOverMax val="0"/>
  </c:chart>
  <c:spPr>
    <a:ln w="38100"/>
  </c:spPr>
  <c:printSettings>
    <c:headerFooter/>
    <c:pageMargins b="0.75" l="0.7" r="0.7" t="0.75" header="0.3" footer="0.3"/>
    <c:pageSetup/>
  </c:printSettings>
</c:chartSpace>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5</xdr:col>
      <xdr:colOff>227602</xdr:colOff>
      <xdr:row>3</xdr:row>
      <xdr:rowOff>114300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399301" cy="685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38</xdr:col>
      <xdr:colOff>19050</xdr:colOff>
      <xdr:row>33</xdr:row>
      <xdr:rowOff>57150</xdr:rowOff>
    </xdr:from>
    <xdr:to>
      <xdr:col>46</xdr:col>
      <xdr:colOff>723900</xdr:colOff>
      <xdr:row>50</xdr:row>
      <xdr:rowOff>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6716375" y="6515100"/>
          <a:ext cx="5857875" cy="3257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*Note: </a:t>
          </a:r>
          <a:r>
            <a:rPr lang="en-US" sz="1100"/>
            <a:t>For 100% affordable projects (below 60% AMI or tax credit projects using income averaging with 100% tax credit units), if</a:t>
          </a:r>
          <a:r>
            <a:rPr lang="en-US" sz="1100" baseline="0"/>
            <a:t> you use tax comps that are also 100% 4d qualified, the "extracted tax capacity rate" from the table above will equal the local tax rate plus the referendum market value tax rate. This is true because for properties with a tax class rate less than 1.00% (including affordable housing), the referendum market value taxes are equal to the referendum market value tax rate x 100 x tax capacity (instead of referendum market value tax rate x EMV. For 100% 4d affordable projects, it is possible to rely on affordable tax comps and use the "extracted tax capacity rate" from the table above as the "local tax rate" in calculating the projected taxes in the table to the right. Just be sure to delete the Referendum Market Value Tax Rate for affordable units in the 4th section of the table to the left.</a:t>
          </a:r>
        </a:p>
        <a:p>
          <a:endParaRPr lang="en-US" sz="1100" baseline="0"/>
        </a:p>
        <a:p>
          <a:r>
            <a:rPr lang="en-US" sz="1100" baseline="0"/>
            <a:t>For mixed-income projects, the only accurate way to project real estate taxes is to know what the local tax rate is </a:t>
          </a:r>
          <a:r>
            <a:rPr lang="en-US" sz="1100" baseline="0">
              <a:solidFill>
                <a:schemeClr val="dk1"/>
              </a:solidFill>
              <a:effectLst/>
              <a:latin typeface="+mn-lt"/>
              <a:ea typeface="+mn-ea"/>
              <a:cs typeface="+mn-cs"/>
            </a:rPr>
            <a:t>(for calculating taxes based on tax capacity) </a:t>
          </a:r>
          <a:r>
            <a:rPr lang="en-US" sz="1100" baseline="0"/>
            <a:t> and what the referendum market value tax rate is (for calculating referendum market value taxes based on EMV). Typically this data can be obtained from the assessor and is often published on the assessor's website.</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110125</xdr:colOff>
      <xdr:row>3</xdr:row>
      <xdr:rowOff>114300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99300" cy="685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131761</xdr:colOff>
      <xdr:row>2</xdr:row>
      <xdr:rowOff>0</xdr:rowOff>
    </xdr:from>
    <xdr:to>
      <xdr:col>21</xdr:col>
      <xdr:colOff>31750</xdr:colOff>
      <xdr:row>35</xdr:row>
      <xdr:rowOff>10583</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18</xdr:col>
          <xdr:colOff>209550</xdr:colOff>
          <xdr:row>52</xdr:row>
          <xdr:rowOff>152400</xdr:rowOff>
        </xdr:from>
        <xdr:to>
          <xdr:col>21</xdr:col>
          <xdr:colOff>552450</xdr:colOff>
          <xdr:row>55</xdr:row>
          <xdr:rowOff>0</xdr:rowOff>
        </xdr:to>
        <xdr:sp macro="" textlink="">
          <xdr:nvSpPr>
            <xdr:cNvPr id="3074" name="BreakEvenIncomeGrowthButton" hidden="1">
              <a:extLst>
                <a:ext uri="{63B3BB69-23CF-44E3-9099-C40C66FF867C}">
                  <a14:compatExt spid="_x0000_s3074"/>
                </a:ext>
                <a:ext uri="{FF2B5EF4-FFF2-40B4-BE49-F238E27FC236}">
                  <a16:creationId xmlns:a16="http://schemas.microsoft.com/office/drawing/2014/main" id="{00000000-0008-0000-0A00-000002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Run Break Even for Income Growth</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209550</xdr:colOff>
          <xdr:row>64</xdr:row>
          <xdr:rowOff>171450</xdr:rowOff>
        </xdr:from>
        <xdr:to>
          <xdr:col>21</xdr:col>
          <xdr:colOff>552450</xdr:colOff>
          <xdr:row>67</xdr:row>
          <xdr:rowOff>19050</xdr:rowOff>
        </xdr:to>
        <xdr:sp macro="" textlink="">
          <xdr:nvSpPr>
            <xdr:cNvPr id="3075" name="BreakEvenExpGrowthButton" hidden="1">
              <a:extLst>
                <a:ext uri="{63B3BB69-23CF-44E3-9099-C40C66FF867C}">
                  <a14:compatExt spid="_x0000_s3075"/>
                </a:ext>
                <a:ext uri="{FF2B5EF4-FFF2-40B4-BE49-F238E27FC236}">
                  <a16:creationId xmlns:a16="http://schemas.microsoft.com/office/drawing/2014/main" id="{00000000-0008-0000-0A00-000003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Run Break Even for Expense Growth</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mhffile04\Public\Underwriting\Older%20Sample%20Workbook%20201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mhffile04\Public\402%20with%20Pr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Controls1"/>
      <sheetName val="Controls"/>
      <sheetName val="Tables"/>
      <sheetName val="WorksheetsTabs"/>
      <sheetName val="SummaryTabControlsValues"/>
      <sheetName val="Business Logic"/>
      <sheetName val="Instructions"/>
      <sheetName val="Summary"/>
      <sheetName val="Funding Request"/>
      <sheetName val="Signature - Affirm. Action Stmt"/>
      <sheetName val="HTC Owner Cert"/>
      <sheetName val="Project Description"/>
      <sheetName val="Property Information"/>
      <sheetName val="Housing Income"/>
      <sheetName val="Income &amp; Expense"/>
      <sheetName val="Mortgage Calc"/>
      <sheetName val="Cash Flow"/>
      <sheetName val="Development Costs"/>
      <sheetName val="Sources"/>
      <sheetName val="HTC Info"/>
      <sheetName val="Determination of Credit"/>
      <sheetName val="Development Team"/>
      <sheetName val="Buildings"/>
      <sheetName val="Amortization"/>
      <sheetName val="Controls Properties"/>
      <sheetName val="Older Sample Workbook 2016"/>
    </sheetNames>
    <sheetDataSet>
      <sheetData sheetId="0">
        <row r="16">
          <cell r="AN16" t="str">
            <v>Replacement Reserve</v>
          </cell>
        </row>
        <row r="17">
          <cell r="AN17" t="str">
            <v>Operating Reserve</v>
          </cell>
        </row>
        <row r="18">
          <cell r="AN18" t="str">
            <v>Rent Up Reserve</v>
          </cell>
        </row>
        <row r="19">
          <cell r="AN19" t="str">
            <v>Debt Service Reserve</v>
          </cell>
        </row>
        <row r="20">
          <cell r="AN20" t="str">
            <v>Other</v>
          </cell>
        </row>
      </sheetData>
      <sheetData sheetId="1"/>
      <sheetData sheetId="2"/>
      <sheetData sheetId="3"/>
      <sheetData sheetId="4"/>
      <sheetData sheetId="5"/>
      <sheetData sheetId="6"/>
      <sheetData sheetId="7"/>
      <sheetData sheetId="8">
        <row r="46">
          <cell r="D46">
            <v>0</v>
          </cell>
        </row>
      </sheetData>
      <sheetData sheetId="9"/>
      <sheetData sheetId="10"/>
      <sheetData sheetId="11"/>
      <sheetData sheetId="12"/>
      <sheetData sheetId="13">
        <row r="24">
          <cell r="I24">
            <v>84672</v>
          </cell>
        </row>
      </sheetData>
      <sheetData sheetId="14">
        <row r="41">
          <cell r="D41">
            <v>121</v>
          </cell>
        </row>
      </sheetData>
      <sheetData sheetId="15">
        <row r="5">
          <cell r="J5">
            <v>925344</v>
          </cell>
        </row>
      </sheetData>
      <sheetData sheetId="16"/>
      <sheetData sheetId="17">
        <row r="36">
          <cell r="AA36">
            <v>36300</v>
          </cell>
        </row>
      </sheetData>
      <sheetData sheetId="18">
        <row r="5">
          <cell r="H5">
            <v>581000</v>
          </cell>
        </row>
      </sheetData>
      <sheetData sheetId="19">
        <row r="15">
          <cell r="G15">
            <v>3838000</v>
          </cell>
        </row>
      </sheetData>
      <sheetData sheetId="20"/>
      <sheetData sheetId="21">
        <row r="72">
          <cell r="H72">
            <v>814331.38404255325</v>
          </cell>
        </row>
      </sheetData>
      <sheetData sheetId="22"/>
      <sheetData sheetId="23"/>
      <sheetData sheetId="24"/>
      <sheetData sheetId="25"/>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
      <sheetName val="Development Team"/>
      <sheetName val="Buildings"/>
      <sheetName val="Subsidy Layering"/>
      <sheetName val="Equity Proceeds"/>
      <sheetName val="Valuation"/>
      <sheetName val="AMRTZ-A"/>
      <sheetName val="AMRTZ-B"/>
      <sheetName val="Sources &amp; Uses"/>
      <sheetName val="Vacancy"/>
      <sheetName val="Mortgage Rate Calc"/>
      <sheetName val="10 Year Proforma"/>
      <sheetName val="Controls"/>
      <sheetName val="Functions"/>
      <sheetName val="dlgFileSelect"/>
      <sheetName val="Sheet1"/>
    </sheetNames>
    <sheetDataSet>
      <sheetData sheetId="0" refreshError="1">
        <row r="307">
          <cell r="B307">
            <v>12</v>
          </cell>
        </row>
        <row r="321">
          <cell r="B321">
            <v>125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4.xml"/><Relationship Id="rId1" Type="http://schemas.openxmlformats.org/officeDocument/2006/relationships/printerSettings" Target="../printerSettings/printerSettings10.bin"/><Relationship Id="rId6" Type="http://schemas.openxmlformats.org/officeDocument/2006/relationships/comments" Target="../comments8.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hyperlink" Target="mailto:msanders@gmhf.com" TargetMode="External"/><Relationship Id="rId2" Type="http://schemas.openxmlformats.org/officeDocument/2006/relationships/hyperlink" Target="mailto:wjohnson@gmhf.com" TargetMode="External"/><Relationship Id="rId1" Type="http://schemas.openxmlformats.org/officeDocument/2006/relationships/hyperlink" Target="mailto:nmohs@gmhf.com" TargetMode="External"/><Relationship Id="rId4" Type="http://schemas.openxmlformats.org/officeDocument/2006/relationships/hyperlink" Target="mailto:amichelsallen@gmhf.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eomap.ffiec.gov/ffiecgeoma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revenue.state.mn.us/glossary-r"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5396-D472-40E7-BD62-E7793DC8038E}">
  <sheetPr codeName="Sheet7"/>
  <dimension ref="A1:D22"/>
  <sheetViews>
    <sheetView showGridLines="0" workbookViewId="0">
      <selection activeCell="D23" sqref="D23"/>
    </sheetView>
  </sheetViews>
  <sheetFormatPr defaultRowHeight="15" x14ac:dyDescent="0.25"/>
  <cols>
    <col min="1" max="1" width="9.7109375" bestFit="1" customWidth="1"/>
    <col min="2" max="2" width="16.5703125" bestFit="1" customWidth="1"/>
    <col min="3" max="3" width="12.42578125" bestFit="1" customWidth="1"/>
    <col min="4" max="4" width="77.7109375" bestFit="1" customWidth="1"/>
  </cols>
  <sheetData>
    <row r="1" spans="1:4" ht="15.75" thickBot="1" x14ac:dyDescent="0.3"/>
    <row r="2" spans="1:4" ht="15.75" thickBot="1" x14ac:dyDescent="0.3">
      <c r="A2" s="212" t="s">
        <v>311</v>
      </c>
      <c r="B2" s="213" t="s">
        <v>330</v>
      </c>
      <c r="C2" s="213" t="s">
        <v>312</v>
      </c>
      <c r="D2" s="214" t="s">
        <v>313</v>
      </c>
    </row>
    <row r="3" spans="1:4" x14ac:dyDescent="0.25">
      <c r="A3" s="206">
        <v>43546</v>
      </c>
      <c r="B3" t="s">
        <v>314</v>
      </c>
      <c r="C3" t="s">
        <v>315</v>
      </c>
      <c r="D3" s="207" t="s">
        <v>318</v>
      </c>
    </row>
    <row r="4" spans="1:4" x14ac:dyDescent="0.25">
      <c r="A4" s="190"/>
      <c r="D4" s="207" t="s">
        <v>319</v>
      </c>
    </row>
    <row r="5" spans="1:4" x14ac:dyDescent="0.25">
      <c r="A5" s="190"/>
      <c r="D5" s="207" t="s">
        <v>320</v>
      </c>
    </row>
    <row r="6" spans="1:4" x14ac:dyDescent="0.25">
      <c r="A6" s="190"/>
      <c r="D6" s="207" t="s">
        <v>316</v>
      </c>
    </row>
    <row r="7" spans="1:4" x14ac:dyDescent="0.25">
      <c r="A7" s="190"/>
      <c r="D7" s="207" t="s">
        <v>321</v>
      </c>
    </row>
    <row r="8" spans="1:4" x14ac:dyDescent="0.25">
      <c r="A8" s="190"/>
      <c r="D8" s="207" t="s">
        <v>322</v>
      </c>
    </row>
    <row r="9" spans="1:4" x14ac:dyDescent="0.25">
      <c r="A9" s="190"/>
      <c r="D9" s="207" t="s">
        <v>323</v>
      </c>
    </row>
    <row r="10" spans="1:4" x14ac:dyDescent="0.25">
      <c r="A10" s="190"/>
      <c r="D10" s="207" t="s">
        <v>324</v>
      </c>
    </row>
    <row r="11" spans="1:4" x14ac:dyDescent="0.25">
      <c r="A11" s="190"/>
      <c r="D11" s="207" t="s">
        <v>326</v>
      </c>
    </row>
    <row r="12" spans="1:4" x14ac:dyDescent="0.25">
      <c r="A12" s="190"/>
      <c r="D12" s="207" t="s">
        <v>317</v>
      </c>
    </row>
    <row r="13" spans="1:4" x14ac:dyDescent="0.25">
      <c r="A13" s="190"/>
      <c r="D13" s="207" t="s">
        <v>327</v>
      </c>
    </row>
    <row r="14" spans="1:4" ht="30" x14ac:dyDescent="0.25">
      <c r="A14" s="190"/>
      <c r="D14" s="208" t="s">
        <v>328</v>
      </c>
    </row>
    <row r="15" spans="1:4" ht="15.75" thickBot="1" x14ac:dyDescent="0.3">
      <c r="A15" s="190"/>
      <c r="D15" s="207" t="s">
        <v>329</v>
      </c>
    </row>
    <row r="16" spans="1:4" x14ac:dyDescent="0.25">
      <c r="A16" s="220">
        <v>43549</v>
      </c>
      <c r="B16" s="221" t="s">
        <v>314</v>
      </c>
      <c r="C16" s="221" t="s">
        <v>315</v>
      </c>
      <c r="D16" s="222" t="s">
        <v>331</v>
      </c>
    </row>
    <row r="17" spans="1:4" ht="15.75" thickBot="1" x14ac:dyDescent="0.3">
      <c r="A17" s="209"/>
      <c r="B17" s="210"/>
      <c r="C17" s="210"/>
      <c r="D17" s="211" t="s">
        <v>332</v>
      </c>
    </row>
    <row r="18" spans="1:4" x14ac:dyDescent="0.25">
      <c r="A18" s="220">
        <v>43557</v>
      </c>
      <c r="B18" s="221" t="s">
        <v>314</v>
      </c>
      <c r="C18" s="221" t="s">
        <v>315</v>
      </c>
      <c r="D18" s="222" t="s">
        <v>349</v>
      </c>
    </row>
    <row r="19" spans="1:4" ht="15.75" thickBot="1" x14ac:dyDescent="0.3">
      <c r="A19" s="209"/>
      <c r="B19" s="210"/>
      <c r="C19" s="210"/>
      <c r="D19" s="211" t="s">
        <v>350</v>
      </c>
    </row>
    <row r="20" spans="1:4" ht="15.75" thickBot="1" x14ac:dyDescent="0.3">
      <c r="A20" s="232">
        <v>43566</v>
      </c>
      <c r="B20" s="213" t="s">
        <v>314</v>
      </c>
      <c r="C20" s="213" t="s">
        <v>315</v>
      </c>
      <c r="D20" s="214" t="s">
        <v>443</v>
      </c>
    </row>
    <row r="21" spans="1:4" ht="30.75" thickBot="1" x14ac:dyDescent="0.3">
      <c r="A21" s="232">
        <v>43684</v>
      </c>
      <c r="B21" s="213" t="s">
        <v>314</v>
      </c>
      <c r="C21" s="213" t="s">
        <v>315</v>
      </c>
      <c r="D21" s="234" t="s">
        <v>444</v>
      </c>
    </row>
    <row r="22" spans="1:4" ht="15.75" thickBot="1" x14ac:dyDescent="0.3">
      <c r="A22" s="232">
        <v>43930</v>
      </c>
      <c r="B22" s="213" t="s">
        <v>314</v>
      </c>
      <c r="C22" s="213"/>
      <c r="D22" s="234" t="s">
        <v>447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AH44"/>
  <sheetViews>
    <sheetView showGridLines="0" zoomScaleNormal="100" workbookViewId="0">
      <selection activeCell="J32" sqref="J32"/>
    </sheetView>
  </sheetViews>
  <sheetFormatPr defaultColWidth="9.85546875" defaultRowHeight="12.75" x14ac:dyDescent="0.25"/>
  <cols>
    <col min="1" max="1" width="4.28515625" style="93" customWidth="1"/>
    <col min="2" max="2" width="16.42578125" style="93" customWidth="1"/>
    <col min="3" max="3" width="14.85546875" style="93" customWidth="1"/>
    <col min="4" max="4" width="12.85546875" style="93" customWidth="1"/>
    <col min="5" max="24" width="14.7109375" style="94" customWidth="1"/>
    <col min="25" max="16384" width="9.85546875" style="93"/>
  </cols>
  <sheetData>
    <row r="1" spans="2:34" ht="13.5" thickBot="1" x14ac:dyDescent="0.3"/>
    <row r="2" spans="2:34" ht="15.75" thickBot="1" x14ac:dyDescent="0.3">
      <c r="B2" s="1372" t="str">
        <f>UPPER(Summary!$E$7)&amp; " REPLACEMENT RESERVES ANALYSIS"</f>
        <v xml:space="preserve"> REPLACEMENT RESERVES ANALYSIS</v>
      </c>
      <c r="C2" s="1373"/>
      <c r="D2" s="1373"/>
      <c r="E2" s="1373"/>
      <c r="F2" s="1373"/>
      <c r="G2" s="1373"/>
      <c r="H2" s="1373"/>
      <c r="I2" s="1373"/>
      <c r="J2" s="1373"/>
      <c r="K2" s="1373"/>
      <c r="L2" s="1373"/>
      <c r="M2" s="1374"/>
      <c r="N2"/>
      <c r="O2"/>
      <c r="P2"/>
      <c r="Q2"/>
      <c r="R2"/>
      <c r="S2"/>
      <c r="T2"/>
      <c r="U2"/>
      <c r="V2"/>
      <c r="W2"/>
      <c r="X2"/>
      <c r="Y2"/>
      <c r="Z2"/>
      <c r="AA2"/>
      <c r="AB2"/>
      <c r="AC2"/>
      <c r="AD2"/>
      <c r="AE2"/>
      <c r="AF2"/>
      <c r="AG2"/>
      <c r="AH2"/>
    </row>
    <row r="3" spans="2:34" x14ac:dyDescent="0.25">
      <c r="B3" s="235"/>
    </row>
    <row r="4" spans="2:34" ht="15" x14ac:dyDescent="0.25">
      <c r="B4" s="1596" t="s">
        <v>159</v>
      </c>
      <c r="C4" s="1597"/>
      <c r="D4" s="1598"/>
      <c r="E4" s="258">
        <f>Summary!E52</f>
        <v>0</v>
      </c>
      <c r="F4" s="96"/>
      <c r="G4" s="96"/>
      <c r="H4" s="96"/>
      <c r="I4" s="96"/>
      <c r="J4" s="96"/>
      <c r="K4" s="96"/>
      <c r="L4" s="96"/>
      <c r="M4" s="96"/>
    </row>
    <row r="5" spans="2:34" ht="15" x14ac:dyDescent="0.25">
      <c r="B5" s="1593" t="s">
        <v>160</v>
      </c>
      <c r="C5" s="1594"/>
      <c r="D5" s="1595"/>
      <c r="E5" s="259">
        <f>'Dev Costs'!H71</f>
        <v>0</v>
      </c>
      <c r="F5" s="97"/>
      <c r="G5" s="98"/>
      <c r="H5" s="96"/>
      <c r="I5" s="97"/>
      <c r="J5" s="96"/>
      <c r="K5" s="96"/>
      <c r="L5" s="99"/>
      <c r="M5" s="100"/>
      <c r="N5" s="101"/>
    </row>
    <row r="6" spans="2:34" ht="15" x14ac:dyDescent="0.25">
      <c r="B6" s="1593" t="s">
        <v>161</v>
      </c>
      <c r="C6" s="1594"/>
      <c r="D6" s="1595"/>
      <c r="E6" s="174"/>
      <c r="F6" s="97"/>
      <c r="G6" s="98"/>
      <c r="H6" s="96"/>
      <c r="I6" s="97"/>
      <c r="J6" s="96"/>
      <c r="K6" s="102"/>
      <c r="L6" s="99"/>
      <c r="M6" s="100"/>
      <c r="N6" s="101"/>
    </row>
    <row r="7" spans="2:34" ht="15" x14ac:dyDescent="0.25">
      <c r="B7" s="1593" t="s">
        <v>162</v>
      </c>
      <c r="C7" s="1594"/>
      <c r="D7" s="1595"/>
      <c r="E7" s="259">
        <f>'Inc &amp; Exp'!H39</f>
        <v>0</v>
      </c>
      <c r="F7" s="103"/>
      <c r="G7" s="98"/>
      <c r="H7" s="97"/>
      <c r="I7" s="100"/>
      <c r="J7" s="104"/>
      <c r="K7" s="100"/>
      <c r="L7" s="96"/>
      <c r="M7" s="96"/>
      <c r="R7" s="93"/>
      <c r="S7" s="101"/>
      <c r="T7" s="101"/>
      <c r="U7" s="101"/>
      <c r="V7" s="93"/>
      <c r="W7" s="101"/>
    </row>
    <row r="8" spans="2:34" ht="15" x14ac:dyDescent="0.25">
      <c r="B8" s="1593" t="s">
        <v>163</v>
      </c>
      <c r="C8" s="1594"/>
      <c r="D8" s="1595"/>
      <c r="E8" s="177">
        <f>Summary!E11</f>
        <v>0</v>
      </c>
      <c r="F8" s="96"/>
      <c r="G8" s="96"/>
      <c r="H8" s="100"/>
      <c r="I8" s="100"/>
      <c r="J8" s="96"/>
      <c r="K8" s="96"/>
      <c r="L8" s="100"/>
      <c r="M8" s="100"/>
      <c r="N8" s="101"/>
      <c r="R8" s="101"/>
      <c r="S8" s="101"/>
      <c r="T8" s="101"/>
      <c r="U8" s="101"/>
      <c r="V8" s="101"/>
      <c r="W8" s="101"/>
    </row>
    <row r="9" spans="2:34" ht="15" x14ac:dyDescent="0.25">
      <c r="B9" s="1593" t="s">
        <v>164</v>
      </c>
      <c r="C9" s="1594"/>
      <c r="D9" s="1595"/>
      <c r="E9" s="175">
        <v>0.03</v>
      </c>
      <c r="F9" s="96"/>
      <c r="G9" s="96"/>
      <c r="H9" s="100"/>
      <c r="I9" s="100"/>
      <c r="J9" s="96"/>
      <c r="K9" s="96"/>
      <c r="L9" s="100"/>
      <c r="M9" s="100"/>
      <c r="N9" s="101"/>
      <c r="R9" s="101"/>
      <c r="S9" s="101"/>
      <c r="T9" s="101"/>
      <c r="U9" s="101"/>
      <c r="V9" s="101"/>
      <c r="W9" s="101"/>
    </row>
    <row r="10" spans="2:34" ht="15" x14ac:dyDescent="0.25">
      <c r="B10" s="1593" t="s">
        <v>165</v>
      </c>
      <c r="C10" s="1594"/>
      <c r="D10" s="1595"/>
      <c r="E10" s="175">
        <v>0</v>
      </c>
      <c r="F10" s="96"/>
      <c r="G10" s="96"/>
      <c r="H10" s="100"/>
      <c r="I10" s="100"/>
      <c r="J10" s="96"/>
      <c r="K10" s="96"/>
      <c r="L10" s="100"/>
      <c r="M10" s="100"/>
      <c r="N10" s="101"/>
      <c r="R10" s="101"/>
      <c r="S10" s="101"/>
      <c r="T10" s="101"/>
      <c r="U10" s="101"/>
      <c r="V10" s="101"/>
      <c r="W10" s="101"/>
    </row>
    <row r="11" spans="2:34" ht="15" x14ac:dyDescent="0.25">
      <c r="B11" s="1593" t="s">
        <v>166</v>
      </c>
      <c r="C11" s="1594"/>
      <c r="D11" s="1595"/>
      <c r="E11" s="175">
        <v>0</v>
      </c>
      <c r="F11" s="96"/>
      <c r="G11" s="96"/>
      <c r="H11" s="96"/>
      <c r="I11" s="96"/>
      <c r="J11" s="96"/>
      <c r="K11" s="96"/>
      <c r="L11" s="96"/>
      <c r="M11" s="96"/>
    </row>
    <row r="12" spans="2:34" ht="15" x14ac:dyDescent="0.25">
      <c r="B12" s="99"/>
      <c r="C12" s="99"/>
      <c r="D12" s="99"/>
      <c r="E12" s="99"/>
      <c r="F12" s="99"/>
      <c r="G12" s="99"/>
      <c r="H12" s="99"/>
      <c r="I12" s="99"/>
      <c r="J12" s="99"/>
      <c r="K12" s="99"/>
      <c r="L12" s="99"/>
      <c r="M12" s="99"/>
      <c r="N12" s="93"/>
      <c r="O12" s="93"/>
      <c r="P12" s="93"/>
      <c r="Q12" s="93"/>
      <c r="R12" s="93"/>
      <c r="S12" s="93"/>
      <c r="T12" s="93"/>
      <c r="U12" s="93"/>
      <c r="V12" s="93"/>
      <c r="W12" s="93"/>
      <c r="X12" s="93"/>
    </row>
    <row r="13" spans="2:34" ht="15" x14ac:dyDescent="0.25">
      <c r="B13" s="98"/>
      <c r="C13" s="99"/>
      <c r="D13" s="99"/>
      <c r="E13" s="99"/>
      <c r="F13" s="99"/>
      <c r="G13" s="99"/>
      <c r="H13" s="99"/>
      <c r="I13" s="99"/>
      <c r="J13" s="99"/>
      <c r="K13" s="99"/>
      <c r="L13" s="99"/>
      <c r="M13" s="99"/>
      <c r="N13" s="93"/>
      <c r="O13" s="93"/>
      <c r="P13" s="93"/>
      <c r="Q13" s="93"/>
      <c r="R13" s="93"/>
      <c r="S13" s="93"/>
      <c r="T13" s="93"/>
      <c r="U13" s="93"/>
      <c r="V13" s="93"/>
      <c r="W13" s="93"/>
      <c r="X13" s="93"/>
    </row>
    <row r="14" spans="2:34" ht="15" x14ac:dyDescent="0.25">
      <c r="B14" s="1587"/>
      <c r="C14" s="1588"/>
      <c r="D14" s="105">
        <v>1</v>
      </c>
      <c r="E14" s="105">
        <v>2</v>
      </c>
      <c r="F14" s="105">
        <v>3</v>
      </c>
      <c r="G14" s="105">
        <v>4</v>
      </c>
      <c r="H14" s="105">
        <v>5</v>
      </c>
      <c r="I14" s="105">
        <v>6</v>
      </c>
      <c r="J14" s="105">
        <v>7</v>
      </c>
      <c r="K14" s="105">
        <v>8</v>
      </c>
      <c r="L14" s="105">
        <v>9</v>
      </c>
      <c r="M14" s="105">
        <v>10</v>
      </c>
    </row>
    <row r="15" spans="2:34" ht="12.75" customHeight="1" x14ac:dyDescent="0.25">
      <c r="B15" s="1589"/>
      <c r="C15" s="1590"/>
      <c r="D15" s="106">
        <f>E8</f>
        <v>0</v>
      </c>
      <c r="E15" s="106">
        <f t="shared" ref="E15:M15" si="0">D15+1</f>
        <v>1</v>
      </c>
      <c r="F15" s="106">
        <f t="shared" si="0"/>
        <v>2</v>
      </c>
      <c r="G15" s="106">
        <f t="shared" si="0"/>
        <v>3</v>
      </c>
      <c r="H15" s="106">
        <f t="shared" si="0"/>
        <v>4</v>
      </c>
      <c r="I15" s="106">
        <f t="shared" si="0"/>
        <v>5</v>
      </c>
      <c r="J15" s="106">
        <f t="shared" si="0"/>
        <v>6</v>
      </c>
      <c r="K15" s="106">
        <f t="shared" si="0"/>
        <v>7</v>
      </c>
      <c r="L15" s="106">
        <f t="shared" si="0"/>
        <v>8</v>
      </c>
      <c r="M15" s="106">
        <f t="shared" si="0"/>
        <v>9</v>
      </c>
    </row>
    <row r="16" spans="2:34" ht="12.75" customHeight="1" x14ac:dyDescent="0.25">
      <c r="B16" s="1584"/>
      <c r="C16" s="1584"/>
      <c r="D16" s="107"/>
      <c r="E16" s="107"/>
      <c r="F16" s="107"/>
      <c r="G16" s="107"/>
      <c r="H16" s="107"/>
      <c r="I16" s="107"/>
      <c r="J16" s="107"/>
      <c r="K16" s="107"/>
      <c r="L16" s="107"/>
      <c r="M16" s="107"/>
    </row>
    <row r="17" spans="2:26" ht="15" x14ac:dyDescent="0.25">
      <c r="B17" s="1583" t="s">
        <v>167</v>
      </c>
      <c r="C17" s="1583"/>
      <c r="D17" s="176"/>
      <c r="E17" s="176"/>
      <c r="F17" s="176"/>
      <c r="G17" s="176"/>
      <c r="H17" s="176"/>
      <c r="I17" s="176"/>
      <c r="J17" s="176"/>
      <c r="K17" s="176"/>
      <c r="L17" s="176"/>
      <c r="M17" s="176"/>
      <c r="N17" s="93"/>
      <c r="O17" s="93"/>
      <c r="P17" s="93"/>
      <c r="Q17" s="93"/>
      <c r="R17" s="93"/>
      <c r="S17" s="93"/>
      <c r="T17" s="93"/>
      <c r="U17" s="93"/>
      <c r="V17" s="93"/>
      <c r="W17" s="93"/>
      <c r="X17" s="93"/>
    </row>
    <row r="18" spans="2:26" ht="15" x14ac:dyDescent="0.25">
      <c r="B18" s="1583"/>
      <c r="C18" s="1583"/>
      <c r="D18" s="108"/>
      <c r="E18" s="108"/>
      <c r="F18" s="108"/>
      <c r="G18" s="108"/>
      <c r="H18" s="108"/>
      <c r="I18" s="108"/>
      <c r="J18" s="108"/>
      <c r="K18" s="108"/>
      <c r="L18" s="108"/>
      <c r="M18" s="108"/>
      <c r="N18" s="93"/>
      <c r="O18" s="93"/>
      <c r="P18" s="93"/>
      <c r="Q18" s="93"/>
      <c r="R18" s="93"/>
      <c r="S18" s="93"/>
      <c r="T18" s="93"/>
      <c r="U18" s="93"/>
      <c r="V18" s="93"/>
      <c r="W18" s="93"/>
      <c r="X18" s="93"/>
    </row>
    <row r="19" spans="2:26" ht="15" x14ac:dyDescent="0.25">
      <c r="B19" s="1583" t="s">
        <v>168</v>
      </c>
      <c r="C19" s="1583"/>
      <c r="D19" s="176"/>
      <c r="E19" s="176"/>
      <c r="F19" s="176"/>
      <c r="G19" s="176"/>
      <c r="H19" s="176"/>
      <c r="I19" s="176"/>
      <c r="J19" s="176"/>
      <c r="K19" s="176"/>
      <c r="L19" s="176"/>
      <c r="M19" s="176"/>
      <c r="N19" s="93"/>
      <c r="O19" s="93"/>
      <c r="P19" s="93"/>
      <c r="Q19" s="93"/>
      <c r="R19" s="93"/>
      <c r="S19" s="93"/>
      <c r="T19" s="93"/>
      <c r="U19" s="93"/>
      <c r="V19" s="93"/>
      <c r="W19" s="93"/>
      <c r="X19" s="93"/>
      <c r="Y19" s="109"/>
      <c r="Z19" s="109"/>
    </row>
    <row r="20" spans="2:26" ht="15" x14ac:dyDescent="0.25">
      <c r="B20" s="1583" t="s">
        <v>169</v>
      </c>
      <c r="C20" s="1583"/>
      <c r="D20" s="108">
        <f>SUM(D17,D19)</f>
        <v>0</v>
      </c>
      <c r="E20" s="108">
        <f>SUM(E17,E19)</f>
        <v>0</v>
      </c>
      <c r="F20" s="108">
        <f t="shared" ref="F20:M20" si="1">SUM(F17,F19)</f>
        <v>0</v>
      </c>
      <c r="G20" s="108">
        <f t="shared" si="1"/>
        <v>0</v>
      </c>
      <c r="H20" s="108">
        <f t="shared" si="1"/>
        <v>0</v>
      </c>
      <c r="I20" s="108">
        <f t="shared" si="1"/>
        <v>0</v>
      </c>
      <c r="J20" s="108">
        <f t="shared" si="1"/>
        <v>0</v>
      </c>
      <c r="K20" s="108">
        <f t="shared" si="1"/>
        <v>0</v>
      </c>
      <c r="L20" s="108">
        <f t="shared" si="1"/>
        <v>0</v>
      </c>
      <c r="M20" s="108">
        <f t="shared" si="1"/>
        <v>0</v>
      </c>
      <c r="N20" s="93"/>
      <c r="O20" s="93"/>
      <c r="P20" s="93"/>
      <c r="Q20" s="93"/>
      <c r="R20" s="93"/>
      <c r="S20" s="93"/>
      <c r="T20" s="93"/>
      <c r="U20" s="93"/>
      <c r="V20" s="93"/>
      <c r="W20" s="93"/>
      <c r="X20" s="93"/>
    </row>
    <row r="21" spans="2:26" ht="15" x14ac:dyDescent="0.25">
      <c r="B21" s="1583" t="s">
        <v>170</v>
      </c>
      <c r="C21" s="1583"/>
      <c r="D21" s="110">
        <v>1</v>
      </c>
      <c r="E21" s="110">
        <f t="shared" ref="E21:M21" si="2">(D21*$E$9)+D21</f>
        <v>1.03</v>
      </c>
      <c r="F21" s="110">
        <f t="shared" si="2"/>
        <v>1.0609</v>
      </c>
      <c r="G21" s="110">
        <f t="shared" si="2"/>
        <v>1.092727</v>
      </c>
      <c r="H21" s="110">
        <f t="shared" si="2"/>
        <v>1.1255088099999999</v>
      </c>
      <c r="I21" s="110">
        <f t="shared" si="2"/>
        <v>1.1592740742999998</v>
      </c>
      <c r="J21" s="110">
        <f t="shared" si="2"/>
        <v>1.1940522965289999</v>
      </c>
      <c r="K21" s="110">
        <f t="shared" si="2"/>
        <v>1.22987386542487</v>
      </c>
      <c r="L21" s="110">
        <f t="shared" si="2"/>
        <v>1.2667700813876162</v>
      </c>
      <c r="M21" s="110">
        <f t="shared" si="2"/>
        <v>1.3047731838292447</v>
      </c>
      <c r="N21" s="93"/>
      <c r="O21" s="93"/>
      <c r="P21" s="93"/>
      <c r="Q21" s="93"/>
      <c r="R21" s="93"/>
      <c r="S21" s="93"/>
      <c r="T21" s="93"/>
      <c r="U21" s="93"/>
      <c r="V21" s="93"/>
      <c r="W21" s="93"/>
      <c r="X21" s="93"/>
      <c r="Y21" s="111"/>
      <c r="Z21" s="109"/>
    </row>
    <row r="22" spans="2:26" ht="15" x14ac:dyDescent="0.25">
      <c r="B22" s="1583" t="s">
        <v>171</v>
      </c>
      <c r="C22" s="1583"/>
      <c r="D22" s="108">
        <f>D20*D21</f>
        <v>0</v>
      </c>
      <c r="E22" s="108">
        <f>E20*E21</f>
        <v>0</v>
      </c>
      <c r="F22" s="108">
        <f t="shared" ref="F22:M22" si="3">F20*F21</f>
        <v>0</v>
      </c>
      <c r="G22" s="108">
        <f t="shared" si="3"/>
        <v>0</v>
      </c>
      <c r="H22" s="108">
        <f t="shared" si="3"/>
        <v>0</v>
      </c>
      <c r="I22" s="108">
        <f t="shared" si="3"/>
        <v>0</v>
      </c>
      <c r="J22" s="108">
        <f t="shared" si="3"/>
        <v>0</v>
      </c>
      <c r="K22" s="108">
        <f t="shared" si="3"/>
        <v>0</v>
      </c>
      <c r="L22" s="108">
        <f t="shared" si="3"/>
        <v>0</v>
      </c>
      <c r="M22" s="108">
        <f t="shared" si="3"/>
        <v>0</v>
      </c>
      <c r="N22" s="93"/>
      <c r="O22" s="93"/>
      <c r="P22" s="93"/>
      <c r="Q22" s="93"/>
      <c r="R22" s="93"/>
      <c r="S22" s="93"/>
      <c r="T22" s="93"/>
      <c r="U22" s="93"/>
      <c r="V22" s="93"/>
      <c r="W22" s="93"/>
      <c r="X22" s="93"/>
    </row>
    <row r="23" spans="2:26" ht="15" x14ac:dyDescent="0.25">
      <c r="B23" s="1584"/>
      <c r="C23" s="1584"/>
      <c r="D23" s="95"/>
      <c r="E23" s="108"/>
      <c r="F23" s="108"/>
      <c r="G23" s="108"/>
      <c r="H23" s="108"/>
      <c r="I23" s="108"/>
      <c r="J23" s="108"/>
      <c r="K23" s="108"/>
      <c r="L23" s="108"/>
      <c r="M23" s="108"/>
      <c r="X23" s="112"/>
    </row>
    <row r="24" spans="2:26" s="115" customFormat="1" ht="15" x14ac:dyDescent="0.25">
      <c r="B24" s="1585" t="s">
        <v>172</v>
      </c>
      <c r="C24" s="1585"/>
      <c r="D24" s="113">
        <f>SUM(E5:E6)</f>
        <v>0</v>
      </c>
      <c r="E24" s="114">
        <f>D28</f>
        <v>0</v>
      </c>
      <c r="F24" s="114">
        <f>E24+E25-E26+E27</f>
        <v>0</v>
      </c>
      <c r="G24" s="114">
        <f t="shared" ref="G24:M24" si="4">F24+F25-F26+F27</f>
        <v>0</v>
      </c>
      <c r="H24" s="114">
        <f t="shared" si="4"/>
        <v>0</v>
      </c>
      <c r="I24" s="114">
        <f t="shared" si="4"/>
        <v>0</v>
      </c>
      <c r="J24" s="114">
        <f t="shared" si="4"/>
        <v>0</v>
      </c>
      <c r="K24" s="114">
        <f t="shared" si="4"/>
        <v>0</v>
      </c>
      <c r="L24" s="114">
        <f t="shared" si="4"/>
        <v>0</v>
      </c>
      <c r="M24" s="114">
        <f t="shared" si="4"/>
        <v>0</v>
      </c>
      <c r="X24" s="116"/>
    </row>
    <row r="25" spans="2:26" s="115" customFormat="1" ht="15" x14ac:dyDescent="0.25">
      <c r="B25" s="1585" t="s">
        <v>173</v>
      </c>
      <c r="C25" s="1585"/>
      <c r="D25" s="113">
        <f>E7*E4</f>
        <v>0</v>
      </c>
      <c r="E25" s="114">
        <f>D25+(D25*$E$10)</f>
        <v>0</v>
      </c>
      <c r="F25" s="114">
        <f t="shared" ref="F25:M25" si="5">E25+(E25*$E$10)</f>
        <v>0</v>
      </c>
      <c r="G25" s="114">
        <f t="shared" si="5"/>
        <v>0</v>
      </c>
      <c r="H25" s="114">
        <f t="shared" si="5"/>
        <v>0</v>
      </c>
      <c r="I25" s="114">
        <f t="shared" si="5"/>
        <v>0</v>
      </c>
      <c r="J25" s="114">
        <f t="shared" si="5"/>
        <v>0</v>
      </c>
      <c r="K25" s="114">
        <f t="shared" si="5"/>
        <v>0</v>
      </c>
      <c r="L25" s="114">
        <f t="shared" si="5"/>
        <v>0</v>
      </c>
      <c r="M25" s="114">
        <f t="shared" si="5"/>
        <v>0</v>
      </c>
      <c r="O25" s="117"/>
      <c r="P25" s="94"/>
      <c r="X25" s="116"/>
    </row>
    <row r="26" spans="2:26" s="115" customFormat="1" ht="15" x14ac:dyDescent="0.25">
      <c r="B26" s="1585" t="s">
        <v>174</v>
      </c>
      <c r="C26" s="1585"/>
      <c r="D26" s="113">
        <f>D22</f>
        <v>0</v>
      </c>
      <c r="E26" s="113">
        <f>E22</f>
        <v>0</v>
      </c>
      <c r="F26" s="113">
        <f t="shared" ref="F26:M26" si="6">F22</f>
        <v>0</v>
      </c>
      <c r="G26" s="113">
        <f t="shared" si="6"/>
        <v>0</v>
      </c>
      <c r="H26" s="113">
        <f t="shared" si="6"/>
        <v>0</v>
      </c>
      <c r="I26" s="113">
        <f t="shared" si="6"/>
        <v>0</v>
      </c>
      <c r="J26" s="113">
        <f t="shared" si="6"/>
        <v>0</v>
      </c>
      <c r="K26" s="113">
        <f t="shared" si="6"/>
        <v>0</v>
      </c>
      <c r="L26" s="113">
        <f t="shared" si="6"/>
        <v>0</v>
      </c>
      <c r="M26" s="113">
        <f t="shared" si="6"/>
        <v>0</v>
      </c>
      <c r="X26" s="116"/>
    </row>
    <row r="27" spans="2:26" s="115" customFormat="1" ht="15" x14ac:dyDescent="0.25">
      <c r="B27" s="1585" t="s">
        <v>175</v>
      </c>
      <c r="C27" s="1585"/>
      <c r="D27" s="113">
        <f t="shared" ref="D27:M27" si="7">(D24+D25-D26)*$E$11</f>
        <v>0</v>
      </c>
      <c r="E27" s="113">
        <f t="shared" si="7"/>
        <v>0</v>
      </c>
      <c r="F27" s="113">
        <f t="shared" si="7"/>
        <v>0</v>
      </c>
      <c r="G27" s="113">
        <f t="shared" si="7"/>
        <v>0</v>
      </c>
      <c r="H27" s="113">
        <f t="shared" si="7"/>
        <v>0</v>
      </c>
      <c r="I27" s="113">
        <f t="shared" si="7"/>
        <v>0</v>
      </c>
      <c r="J27" s="113">
        <f t="shared" si="7"/>
        <v>0</v>
      </c>
      <c r="K27" s="113">
        <f t="shared" si="7"/>
        <v>0</v>
      </c>
      <c r="L27" s="113">
        <f t="shared" si="7"/>
        <v>0</v>
      </c>
      <c r="M27" s="113">
        <f t="shared" si="7"/>
        <v>0</v>
      </c>
      <c r="X27" s="116"/>
    </row>
    <row r="28" spans="2:26" s="115" customFormat="1" ht="15" x14ac:dyDescent="0.25">
      <c r="B28" s="1586" t="s">
        <v>176</v>
      </c>
      <c r="C28" s="1586"/>
      <c r="D28" s="118">
        <f>D24+D25-D26+D27</f>
        <v>0</v>
      </c>
      <c r="E28" s="118">
        <f t="shared" ref="E28:M28" si="8">E24+E25-E26+E27</f>
        <v>0</v>
      </c>
      <c r="F28" s="118">
        <f t="shared" si="8"/>
        <v>0</v>
      </c>
      <c r="G28" s="118">
        <f t="shared" si="8"/>
        <v>0</v>
      </c>
      <c r="H28" s="118">
        <f t="shared" si="8"/>
        <v>0</v>
      </c>
      <c r="I28" s="118">
        <f t="shared" si="8"/>
        <v>0</v>
      </c>
      <c r="J28" s="118">
        <f t="shared" si="8"/>
        <v>0</v>
      </c>
      <c r="K28" s="118">
        <f t="shared" si="8"/>
        <v>0</v>
      </c>
      <c r="L28" s="118">
        <f t="shared" si="8"/>
        <v>0</v>
      </c>
      <c r="M28" s="118">
        <f t="shared" si="8"/>
        <v>0</v>
      </c>
      <c r="X28" s="116"/>
    </row>
    <row r="29" spans="2:26" s="115" customFormat="1" ht="15" x14ac:dyDescent="0.25">
      <c r="B29" s="1585"/>
      <c r="C29" s="1585"/>
      <c r="D29" s="113"/>
      <c r="E29" s="113"/>
      <c r="F29" s="113"/>
      <c r="G29" s="113"/>
      <c r="H29" s="113"/>
      <c r="I29" s="113"/>
      <c r="J29" s="113"/>
      <c r="K29" s="113"/>
      <c r="L29" s="113"/>
      <c r="M29" s="113"/>
      <c r="X29" s="116"/>
    </row>
    <row r="30" spans="2:26" ht="15" x14ac:dyDescent="0.25">
      <c r="B30" s="1587"/>
      <c r="C30" s="1588"/>
      <c r="D30" s="105">
        <v>11</v>
      </c>
      <c r="E30" s="105">
        <v>12</v>
      </c>
      <c r="F30" s="105">
        <v>13</v>
      </c>
      <c r="G30" s="105">
        <v>14</v>
      </c>
      <c r="H30" s="105">
        <v>15</v>
      </c>
      <c r="I30" s="105">
        <v>16</v>
      </c>
      <c r="J30" s="105">
        <v>17</v>
      </c>
      <c r="K30" s="105">
        <v>18</v>
      </c>
      <c r="L30" s="105">
        <v>19</v>
      </c>
      <c r="M30" s="105">
        <v>20</v>
      </c>
      <c r="N30" s="112"/>
      <c r="O30" s="112"/>
      <c r="P30" s="112"/>
      <c r="Q30" s="112"/>
      <c r="R30" s="112"/>
      <c r="S30" s="112"/>
      <c r="T30" s="112"/>
      <c r="U30" s="112"/>
      <c r="V30" s="112"/>
      <c r="W30" s="112"/>
      <c r="X30" s="112"/>
    </row>
    <row r="31" spans="2:26" ht="12.75" customHeight="1" x14ac:dyDescent="0.25">
      <c r="B31" s="1589"/>
      <c r="C31" s="1590"/>
      <c r="D31" s="106">
        <f>M15+1</f>
        <v>10</v>
      </c>
      <c r="E31" s="106">
        <f t="shared" ref="E31:M31" si="9">D31+1</f>
        <v>11</v>
      </c>
      <c r="F31" s="106">
        <f t="shared" si="9"/>
        <v>12</v>
      </c>
      <c r="G31" s="106">
        <f t="shared" si="9"/>
        <v>13</v>
      </c>
      <c r="H31" s="106">
        <f t="shared" si="9"/>
        <v>14</v>
      </c>
      <c r="I31" s="106">
        <f t="shared" si="9"/>
        <v>15</v>
      </c>
      <c r="J31" s="106">
        <f t="shared" si="9"/>
        <v>16</v>
      </c>
      <c r="K31" s="106">
        <f t="shared" si="9"/>
        <v>17</v>
      </c>
      <c r="L31" s="106">
        <f t="shared" si="9"/>
        <v>18</v>
      </c>
      <c r="M31" s="106">
        <f t="shared" si="9"/>
        <v>19</v>
      </c>
      <c r="N31" s="112"/>
      <c r="O31" s="112"/>
      <c r="P31" s="112"/>
      <c r="Q31" s="112"/>
      <c r="R31" s="112"/>
      <c r="S31" s="112"/>
      <c r="T31" s="112"/>
      <c r="U31" s="112"/>
      <c r="V31" s="112"/>
      <c r="W31" s="112"/>
      <c r="X31" s="112"/>
    </row>
    <row r="32" spans="2:26" ht="12.75" customHeight="1" x14ac:dyDescent="0.25">
      <c r="B32" s="1591"/>
      <c r="C32" s="1592"/>
      <c r="D32" s="107"/>
      <c r="E32" s="107"/>
      <c r="F32" s="107"/>
      <c r="G32" s="107"/>
      <c r="H32" s="107"/>
      <c r="I32" s="107"/>
      <c r="J32" s="107"/>
      <c r="K32" s="107"/>
      <c r="L32" s="107"/>
      <c r="M32" s="107"/>
      <c r="N32" s="112"/>
      <c r="O32" s="112"/>
      <c r="P32" s="112"/>
      <c r="Q32" s="112"/>
      <c r="R32" s="112"/>
      <c r="S32" s="112"/>
      <c r="T32" s="112"/>
      <c r="U32" s="112"/>
      <c r="V32" s="112"/>
      <c r="W32" s="112"/>
      <c r="X32" s="112"/>
    </row>
    <row r="33" spans="2:25" ht="15" x14ac:dyDescent="0.25">
      <c r="B33" s="1583" t="s">
        <v>167</v>
      </c>
      <c r="C33" s="1583"/>
      <c r="D33" s="176"/>
      <c r="E33" s="176"/>
      <c r="F33" s="176"/>
      <c r="G33" s="176"/>
      <c r="H33" s="176"/>
      <c r="I33" s="176"/>
      <c r="J33" s="176"/>
      <c r="K33" s="176"/>
      <c r="L33" s="176"/>
      <c r="M33" s="176"/>
      <c r="N33" s="119"/>
      <c r="O33" s="119"/>
      <c r="P33" s="119"/>
      <c r="Q33" s="119"/>
      <c r="R33" s="119"/>
      <c r="S33" s="119"/>
      <c r="T33" s="119"/>
      <c r="U33" s="119"/>
      <c r="V33" s="119"/>
      <c r="W33" s="119"/>
      <c r="X33" s="119"/>
      <c r="Y33" s="109"/>
    </row>
    <row r="34" spans="2:25" ht="15" x14ac:dyDescent="0.25">
      <c r="B34" s="1583"/>
      <c r="C34" s="1583"/>
      <c r="D34" s="108"/>
      <c r="E34" s="108"/>
      <c r="F34" s="108"/>
      <c r="G34" s="108"/>
      <c r="H34" s="108"/>
      <c r="I34" s="108"/>
      <c r="J34" s="108"/>
      <c r="K34" s="108"/>
      <c r="L34" s="108"/>
      <c r="M34" s="108"/>
      <c r="N34" s="112"/>
      <c r="O34" s="112"/>
      <c r="P34" s="112"/>
      <c r="Q34" s="112"/>
      <c r="R34" s="112"/>
      <c r="S34" s="112"/>
      <c r="T34" s="112"/>
      <c r="U34" s="112"/>
      <c r="V34" s="112"/>
      <c r="W34" s="112"/>
      <c r="X34" s="112"/>
    </row>
    <row r="35" spans="2:25" ht="15" x14ac:dyDescent="0.25">
      <c r="B35" s="1583" t="s">
        <v>168</v>
      </c>
      <c r="C35" s="1583"/>
      <c r="D35" s="176">
        <v>0</v>
      </c>
      <c r="E35" s="176">
        <v>0</v>
      </c>
      <c r="F35" s="176">
        <v>0</v>
      </c>
      <c r="G35" s="176">
        <v>0</v>
      </c>
      <c r="H35" s="176">
        <v>0</v>
      </c>
      <c r="I35" s="176">
        <v>0</v>
      </c>
      <c r="J35" s="176">
        <v>0</v>
      </c>
      <c r="K35" s="176">
        <v>0</v>
      </c>
      <c r="L35" s="176">
        <v>0</v>
      </c>
      <c r="M35" s="176">
        <v>0</v>
      </c>
      <c r="N35" s="112"/>
      <c r="O35" s="112"/>
      <c r="P35" s="112"/>
      <c r="Q35" s="112"/>
      <c r="R35" s="112"/>
      <c r="S35" s="112"/>
      <c r="T35" s="112"/>
      <c r="U35" s="112"/>
      <c r="V35" s="112"/>
      <c r="W35" s="112"/>
      <c r="X35" s="112"/>
    </row>
    <row r="36" spans="2:25" ht="15" x14ac:dyDescent="0.25">
      <c r="B36" s="1583" t="s">
        <v>169</v>
      </c>
      <c r="C36" s="1583"/>
      <c r="D36" s="114">
        <f t="shared" ref="D36:M36" si="10">SUM(D33,D35)</f>
        <v>0</v>
      </c>
      <c r="E36" s="114">
        <f t="shared" si="10"/>
        <v>0</v>
      </c>
      <c r="F36" s="114">
        <f t="shared" si="10"/>
        <v>0</v>
      </c>
      <c r="G36" s="114">
        <f t="shared" si="10"/>
        <v>0</v>
      </c>
      <c r="H36" s="114">
        <f t="shared" si="10"/>
        <v>0</v>
      </c>
      <c r="I36" s="114">
        <f t="shared" si="10"/>
        <v>0</v>
      </c>
      <c r="J36" s="114">
        <f t="shared" si="10"/>
        <v>0</v>
      </c>
      <c r="K36" s="114">
        <f t="shared" si="10"/>
        <v>0</v>
      </c>
      <c r="L36" s="114">
        <f t="shared" si="10"/>
        <v>0</v>
      </c>
      <c r="M36" s="114">
        <f t="shared" si="10"/>
        <v>0</v>
      </c>
      <c r="N36" s="112"/>
      <c r="O36" s="112"/>
      <c r="P36" s="112"/>
      <c r="Q36" s="112"/>
      <c r="R36" s="112"/>
      <c r="S36" s="112"/>
      <c r="T36" s="112"/>
      <c r="U36" s="112"/>
      <c r="V36" s="112"/>
      <c r="W36" s="112"/>
      <c r="X36" s="112"/>
    </row>
    <row r="37" spans="2:25" ht="15" x14ac:dyDescent="0.25">
      <c r="B37" s="1583" t="s">
        <v>170</v>
      </c>
      <c r="C37" s="1583"/>
      <c r="D37" s="120">
        <f>(M21*$E$9)+M21</f>
        <v>1.343916379344122</v>
      </c>
      <c r="E37" s="120">
        <f t="shared" ref="E37:M37" si="11">(D37*$E$9)+D37</f>
        <v>1.3842338707244457</v>
      </c>
      <c r="F37" s="120">
        <f t="shared" si="11"/>
        <v>1.4257608868461791</v>
      </c>
      <c r="G37" s="120">
        <f t="shared" si="11"/>
        <v>1.4685337134515644</v>
      </c>
      <c r="H37" s="120">
        <f t="shared" si="11"/>
        <v>1.5125897248551112</v>
      </c>
      <c r="I37" s="120">
        <f t="shared" si="11"/>
        <v>1.5579674166007647</v>
      </c>
      <c r="J37" s="120">
        <f t="shared" si="11"/>
        <v>1.6047064390987875</v>
      </c>
      <c r="K37" s="120">
        <f t="shared" si="11"/>
        <v>1.6528476322717511</v>
      </c>
      <c r="L37" s="120">
        <f t="shared" si="11"/>
        <v>1.7024330612399037</v>
      </c>
      <c r="M37" s="120">
        <f t="shared" si="11"/>
        <v>1.7535060530771007</v>
      </c>
      <c r="N37" s="112"/>
      <c r="O37" s="112"/>
      <c r="P37" s="112"/>
      <c r="Q37" s="112"/>
      <c r="R37" s="112"/>
      <c r="S37" s="112"/>
      <c r="T37" s="112"/>
      <c r="U37" s="112"/>
      <c r="V37" s="112"/>
      <c r="W37" s="112"/>
      <c r="X37" s="112"/>
    </row>
    <row r="38" spans="2:25" ht="15" x14ac:dyDescent="0.25">
      <c r="B38" s="1583" t="s">
        <v>171</v>
      </c>
      <c r="C38" s="1583"/>
      <c r="D38" s="114">
        <f t="shared" ref="D38:M38" si="12">D36*D37</f>
        <v>0</v>
      </c>
      <c r="E38" s="114">
        <f t="shared" si="12"/>
        <v>0</v>
      </c>
      <c r="F38" s="114">
        <f t="shared" si="12"/>
        <v>0</v>
      </c>
      <c r="G38" s="114">
        <f t="shared" si="12"/>
        <v>0</v>
      </c>
      <c r="H38" s="114">
        <f t="shared" si="12"/>
        <v>0</v>
      </c>
      <c r="I38" s="114">
        <f t="shared" si="12"/>
        <v>0</v>
      </c>
      <c r="J38" s="114">
        <f t="shared" si="12"/>
        <v>0</v>
      </c>
      <c r="K38" s="114">
        <f t="shared" si="12"/>
        <v>0</v>
      </c>
      <c r="L38" s="114">
        <f t="shared" si="12"/>
        <v>0</v>
      </c>
      <c r="M38" s="114">
        <f t="shared" si="12"/>
        <v>0</v>
      </c>
      <c r="N38" s="112"/>
      <c r="O38" s="112"/>
      <c r="P38" s="112"/>
      <c r="Q38" s="112"/>
      <c r="R38" s="112"/>
      <c r="S38" s="112"/>
      <c r="T38" s="112"/>
      <c r="U38" s="112"/>
      <c r="V38" s="112"/>
      <c r="W38" s="112"/>
      <c r="X38" s="112"/>
    </row>
    <row r="39" spans="2:25" ht="15" x14ac:dyDescent="0.25">
      <c r="B39" s="1584"/>
      <c r="C39" s="1584"/>
      <c r="D39" s="114"/>
      <c r="E39" s="114"/>
      <c r="F39" s="114"/>
      <c r="G39" s="114"/>
      <c r="H39" s="114"/>
      <c r="I39" s="114"/>
      <c r="J39" s="114"/>
      <c r="K39" s="114"/>
      <c r="L39" s="114"/>
      <c r="M39" s="114"/>
    </row>
    <row r="40" spans="2:25" ht="15" x14ac:dyDescent="0.25">
      <c r="B40" s="1585" t="s">
        <v>172</v>
      </c>
      <c r="C40" s="1585"/>
      <c r="D40" s="114">
        <f>M24+M25-M26+M27</f>
        <v>0</v>
      </c>
      <c r="E40" s="114">
        <f t="shared" ref="E40:M40" si="13">D40+D41-D42+D43</f>
        <v>0</v>
      </c>
      <c r="F40" s="114">
        <f t="shared" si="13"/>
        <v>0</v>
      </c>
      <c r="G40" s="114">
        <f t="shared" si="13"/>
        <v>0</v>
      </c>
      <c r="H40" s="114">
        <f t="shared" si="13"/>
        <v>0</v>
      </c>
      <c r="I40" s="114">
        <f t="shared" si="13"/>
        <v>0</v>
      </c>
      <c r="J40" s="114">
        <f t="shared" si="13"/>
        <v>0</v>
      </c>
      <c r="K40" s="114">
        <f t="shared" si="13"/>
        <v>0</v>
      </c>
      <c r="L40" s="114">
        <f t="shared" si="13"/>
        <v>0</v>
      </c>
      <c r="M40" s="114">
        <f t="shared" si="13"/>
        <v>0</v>
      </c>
    </row>
    <row r="41" spans="2:25" ht="15" x14ac:dyDescent="0.25">
      <c r="B41" s="1585" t="s">
        <v>173</v>
      </c>
      <c r="C41" s="1585"/>
      <c r="D41" s="114">
        <f>M25+(M25*$E$10)</f>
        <v>0</v>
      </c>
      <c r="E41" s="114">
        <f>D41+(D41*$E$10)</f>
        <v>0</v>
      </c>
      <c r="F41" s="114">
        <f t="shared" ref="F41:M41" si="14">E41+(E41*$E$10)</f>
        <v>0</v>
      </c>
      <c r="G41" s="114">
        <f t="shared" si="14"/>
        <v>0</v>
      </c>
      <c r="H41" s="114">
        <f t="shared" si="14"/>
        <v>0</v>
      </c>
      <c r="I41" s="114">
        <f t="shared" si="14"/>
        <v>0</v>
      </c>
      <c r="J41" s="114">
        <f t="shared" si="14"/>
        <v>0</v>
      </c>
      <c r="K41" s="114">
        <f t="shared" si="14"/>
        <v>0</v>
      </c>
      <c r="L41" s="114">
        <f t="shared" si="14"/>
        <v>0</v>
      </c>
      <c r="M41" s="114">
        <f t="shared" si="14"/>
        <v>0</v>
      </c>
    </row>
    <row r="42" spans="2:25" ht="15" x14ac:dyDescent="0.25">
      <c r="B42" s="1585" t="s">
        <v>174</v>
      </c>
      <c r="C42" s="1585"/>
      <c r="D42" s="113">
        <f t="shared" ref="D42:M42" si="15">D38</f>
        <v>0</v>
      </c>
      <c r="E42" s="113">
        <f t="shared" si="15"/>
        <v>0</v>
      </c>
      <c r="F42" s="113">
        <f t="shared" si="15"/>
        <v>0</v>
      </c>
      <c r="G42" s="113">
        <f t="shared" si="15"/>
        <v>0</v>
      </c>
      <c r="H42" s="113">
        <f t="shared" si="15"/>
        <v>0</v>
      </c>
      <c r="I42" s="113">
        <f t="shared" si="15"/>
        <v>0</v>
      </c>
      <c r="J42" s="113">
        <f t="shared" si="15"/>
        <v>0</v>
      </c>
      <c r="K42" s="113">
        <f t="shared" si="15"/>
        <v>0</v>
      </c>
      <c r="L42" s="113">
        <f t="shared" si="15"/>
        <v>0</v>
      </c>
      <c r="M42" s="113">
        <f t="shared" si="15"/>
        <v>0</v>
      </c>
    </row>
    <row r="43" spans="2:25" ht="15" x14ac:dyDescent="0.25">
      <c r="B43" s="1585" t="s">
        <v>175</v>
      </c>
      <c r="C43" s="1585"/>
      <c r="D43" s="113">
        <f t="shared" ref="D43:M43" si="16">(D40+D41-D42)*$E$11</f>
        <v>0</v>
      </c>
      <c r="E43" s="113">
        <f t="shared" si="16"/>
        <v>0</v>
      </c>
      <c r="F43" s="113">
        <f t="shared" si="16"/>
        <v>0</v>
      </c>
      <c r="G43" s="113">
        <f t="shared" si="16"/>
        <v>0</v>
      </c>
      <c r="H43" s="113">
        <f t="shared" si="16"/>
        <v>0</v>
      </c>
      <c r="I43" s="113">
        <f t="shared" si="16"/>
        <v>0</v>
      </c>
      <c r="J43" s="113">
        <f t="shared" si="16"/>
        <v>0</v>
      </c>
      <c r="K43" s="113">
        <f t="shared" si="16"/>
        <v>0</v>
      </c>
      <c r="L43" s="113">
        <f t="shared" si="16"/>
        <v>0</v>
      </c>
      <c r="M43" s="113">
        <f t="shared" si="16"/>
        <v>0</v>
      </c>
    </row>
    <row r="44" spans="2:25" ht="15" x14ac:dyDescent="0.25">
      <c r="B44" s="1586" t="s">
        <v>176</v>
      </c>
      <c r="C44" s="1586"/>
      <c r="D44" s="118">
        <f t="shared" ref="D44:M44" si="17">D40+D41-D42+D43</f>
        <v>0</v>
      </c>
      <c r="E44" s="118">
        <f t="shared" si="17"/>
        <v>0</v>
      </c>
      <c r="F44" s="118">
        <f t="shared" si="17"/>
        <v>0</v>
      </c>
      <c r="G44" s="118">
        <f t="shared" si="17"/>
        <v>0</v>
      </c>
      <c r="H44" s="118">
        <f t="shared" si="17"/>
        <v>0</v>
      </c>
      <c r="I44" s="118">
        <f t="shared" si="17"/>
        <v>0</v>
      </c>
      <c r="J44" s="118">
        <f t="shared" si="17"/>
        <v>0</v>
      </c>
      <c r="K44" s="118">
        <f t="shared" si="17"/>
        <v>0</v>
      </c>
      <c r="L44" s="118">
        <f t="shared" si="17"/>
        <v>0</v>
      </c>
      <c r="M44" s="118">
        <f t="shared" si="17"/>
        <v>0</v>
      </c>
    </row>
  </sheetData>
  <sheetProtection sheet="1" objects="1" scenarios="1" formatCells="0"/>
  <mergeCells count="38">
    <mergeCell ref="B4:D4"/>
    <mergeCell ref="B5:D5"/>
    <mergeCell ref="B6:D6"/>
    <mergeCell ref="B7:D7"/>
    <mergeCell ref="B8:D8"/>
    <mergeCell ref="B22:C22"/>
    <mergeCell ref="B23:C23"/>
    <mergeCell ref="B24:C24"/>
    <mergeCell ref="B25:C25"/>
    <mergeCell ref="B9:D9"/>
    <mergeCell ref="B10:D10"/>
    <mergeCell ref="B11:D11"/>
    <mergeCell ref="B17:C17"/>
    <mergeCell ref="B18:C18"/>
    <mergeCell ref="B19:C19"/>
    <mergeCell ref="B20:C20"/>
    <mergeCell ref="B21:C21"/>
    <mergeCell ref="B40:C40"/>
    <mergeCell ref="B41:C41"/>
    <mergeCell ref="B42:C42"/>
    <mergeCell ref="B43:C43"/>
    <mergeCell ref="B44:C44"/>
    <mergeCell ref="B2:M2"/>
    <mergeCell ref="B38:C38"/>
    <mergeCell ref="B39:C39"/>
    <mergeCell ref="B34:C34"/>
    <mergeCell ref="B27:C27"/>
    <mergeCell ref="B28:C28"/>
    <mergeCell ref="B29:C29"/>
    <mergeCell ref="B30:C31"/>
    <mergeCell ref="B32:C32"/>
    <mergeCell ref="B33:C33"/>
    <mergeCell ref="B35:C35"/>
    <mergeCell ref="B36:C36"/>
    <mergeCell ref="B37:C37"/>
    <mergeCell ref="B26:C26"/>
    <mergeCell ref="B14:C15"/>
    <mergeCell ref="B16:C16"/>
  </mergeCells>
  <conditionalFormatting sqref="D28:M28">
    <cfRule type="cellIs" dxfId="1" priority="4" operator="lessThan">
      <formula>0</formula>
    </cfRule>
  </conditionalFormatting>
  <conditionalFormatting sqref="D44:M44">
    <cfRule type="cellIs" dxfId="0" priority="3" operator="lessThan">
      <formula>0</formula>
    </cfRule>
  </conditionalFormatting>
  <pageMargins left="0.7" right="0.7" top="0.75" bottom="0.75" header="0.3" footer="0.3"/>
  <pageSetup scale="69" orientation="landscape" r:id="rId1"/>
  <headerFooter>
    <oddFooter>&amp;L&amp;F</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V72"/>
  <sheetViews>
    <sheetView showGridLines="0" zoomScale="90" zoomScaleNormal="90" workbookViewId="0">
      <selection activeCell="J32" sqref="J32"/>
    </sheetView>
  </sheetViews>
  <sheetFormatPr defaultRowHeight="15" x14ac:dyDescent="0.25"/>
  <cols>
    <col min="1" max="1" width="10.7109375" customWidth="1"/>
    <col min="2" max="2" width="14" customWidth="1"/>
    <col min="3" max="6" width="10.7109375" customWidth="1"/>
    <col min="7" max="7" width="11.85546875" customWidth="1"/>
    <col min="8" max="8" width="10.7109375" customWidth="1"/>
    <col min="9" max="9" width="11.5703125" customWidth="1"/>
    <col min="10" max="10" width="9.28515625" bestFit="1" customWidth="1"/>
    <col min="11" max="11" width="10" bestFit="1" customWidth="1"/>
    <col min="12" max="12" width="10.7109375" customWidth="1"/>
    <col min="13" max="13" width="9.7109375" bestFit="1" customWidth="1"/>
    <col min="14" max="14" width="9.28515625" bestFit="1" customWidth="1"/>
    <col min="15" max="15" width="10" bestFit="1" customWidth="1"/>
    <col min="16" max="17" width="9.28515625" bestFit="1" customWidth="1"/>
    <col min="18" max="18" width="10" bestFit="1" customWidth="1"/>
    <col min="19" max="19" width="10.7109375" customWidth="1"/>
  </cols>
  <sheetData>
    <row r="1" spans="1:21" ht="15.75" thickBot="1" x14ac:dyDescent="0.3">
      <c r="A1" s="1372" t="str">
        <f>UPPER(Summary!$E$7)&amp; " STRESS TEST"</f>
        <v xml:space="preserve"> STRESS TEST</v>
      </c>
      <c r="B1" s="1373"/>
      <c r="C1" s="1373"/>
      <c r="D1" s="1373"/>
      <c r="E1" s="1373"/>
      <c r="F1" s="1373"/>
      <c r="G1" s="1373"/>
      <c r="H1" s="1373"/>
      <c r="I1" s="1373"/>
      <c r="J1" s="1373"/>
      <c r="K1" s="1373"/>
      <c r="L1" s="1373"/>
      <c r="M1" s="1373"/>
      <c r="N1" s="1373"/>
      <c r="O1" s="1373"/>
      <c r="P1" s="1373"/>
      <c r="Q1" s="1373"/>
      <c r="R1" s="1373"/>
      <c r="S1" s="1373"/>
      <c r="T1" s="1373"/>
      <c r="U1" s="1374"/>
    </row>
    <row r="2" spans="1:21" ht="15.75" thickBot="1" x14ac:dyDescent="0.3"/>
    <row r="3" spans="1:21" ht="15.75" customHeight="1" thickBot="1" x14ac:dyDescent="0.3">
      <c r="A3" s="1535" t="s">
        <v>708</v>
      </c>
      <c r="B3" s="1536"/>
      <c r="C3" s="1536"/>
      <c r="D3" s="1536"/>
      <c r="E3" s="1536"/>
      <c r="F3" s="1536"/>
      <c r="G3" s="1536"/>
      <c r="H3" s="1536"/>
      <c r="I3" s="1537"/>
    </row>
    <row r="4" spans="1:21" x14ac:dyDescent="0.25">
      <c r="A4" s="1604"/>
      <c r="B4" s="1605"/>
      <c r="C4" s="1605"/>
      <c r="D4" s="1605"/>
      <c r="E4" s="1605"/>
      <c r="F4" s="1606"/>
      <c r="G4" s="40" t="s">
        <v>56</v>
      </c>
      <c r="H4" s="63"/>
      <c r="I4" s="41" t="s">
        <v>57</v>
      </c>
      <c r="J4" s="64"/>
    </row>
    <row r="5" spans="1:21" x14ac:dyDescent="0.25">
      <c r="A5" s="1601" t="s">
        <v>112</v>
      </c>
      <c r="B5" s="1602"/>
      <c r="C5" s="1602"/>
      <c r="D5" s="1602"/>
      <c r="E5" s="1602"/>
      <c r="F5" s="1603"/>
      <c r="G5" s="65">
        <f>Summary!E52</f>
        <v>0</v>
      </c>
      <c r="H5" s="66"/>
      <c r="I5" s="67">
        <f>G5</f>
        <v>0</v>
      </c>
      <c r="J5" s="64"/>
    </row>
    <row r="6" spans="1:21" x14ac:dyDescent="0.25">
      <c r="A6" s="1601" t="s">
        <v>113</v>
      </c>
      <c r="B6" s="1602"/>
      <c r="C6" s="1602"/>
      <c r="D6" s="1602"/>
      <c r="E6" s="1602"/>
      <c r="F6" s="1603"/>
      <c r="G6" s="68">
        <f>'Cash Flow'!E11</f>
        <v>0</v>
      </c>
      <c r="H6" s="69"/>
      <c r="I6" s="70">
        <f>'Cash Flow'!S11</f>
        <v>0</v>
      </c>
      <c r="J6" s="64"/>
    </row>
    <row r="7" spans="1:21" x14ac:dyDescent="0.25">
      <c r="A7" s="1601" t="s">
        <v>30</v>
      </c>
      <c r="B7" s="1602"/>
      <c r="C7" s="1602"/>
      <c r="D7" s="1602"/>
      <c r="E7" s="1602"/>
      <c r="F7" s="1603"/>
      <c r="G7" s="68">
        <f>'Cash Flow'!E24</f>
        <v>0</v>
      </c>
      <c r="H7" s="68"/>
      <c r="I7" s="70">
        <f>'Cash Flow'!S24</f>
        <v>0</v>
      </c>
      <c r="J7" s="64"/>
    </row>
    <row r="8" spans="1:21" x14ac:dyDescent="0.25">
      <c r="A8" s="1601" t="s">
        <v>114</v>
      </c>
      <c r="B8" s="1602"/>
      <c r="C8" s="1602"/>
      <c r="D8" s="1602"/>
      <c r="E8" s="1602"/>
      <c r="F8" s="1603"/>
      <c r="G8" s="71">
        <f>1-'Cash Flow'!D19</f>
        <v>0.92999999999999994</v>
      </c>
      <c r="H8" s="68"/>
      <c r="I8" s="72">
        <f>G8</f>
        <v>0.92999999999999994</v>
      </c>
      <c r="J8" s="64"/>
    </row>
    <row r="9" spans="1:21" x14ac:dyDescent="0.25">
      <c r="A9" s="1601" t="s">
        <v>115</v>
      </c>
      <c r="B9" s="1602"/>
      <c r="C9" s="1602"/>
      <c r="D9" s="1602"/>
      <c r="E9" s="1602"/>
      <c r="F9" s="1603"/>
      <c r="G9" s="68">
        <f>'Cash Flow'!E36</f>
        <v>0</v>
      </c>
      <c r="H9" s="68"/>
      <c r="I9" s="70">
        <f>'Cash Flow'!S36</f>
        <v>0</v>
      </c>
      <c r="J9" s="64"/>
    </row>
    <row r="10" spans="1:21" x14ac:dyDescent="0.25">
      <c r="A10" s="1601" t="s">
        <v>50</v>
      </c>
      <c r="B10" s="1602"/>
      <c r="C10" s="1602"/>
      <c r="D10" s="1602"/>
      <c r="E10" s="1602"/>
      <c r="F10" s="1603"/>
      <c r="G10" s="68">
        <f>'Cash Flow'!E40</f>
        <v>0</v>
      </c>
      <c r="H10" s="68"/>
      <c r="I10" s="70">
        <f>'Cash Flow'!S40</f>
        <v>0</v>
      </c>
      <c r="J10" s="64"/>
    </row>
    <row r="11" spans="1:21" x14ac:dyDescent="0.25">
      <c r="A11" s="1601" t="s">
        <v>51</v>
      </c>
      <c r="B11" s="1602"/>
      <c r="C11" s="1602"/>
      <c r="D11" s="1602"/>
      <c r="E11" s="1602"/>
      <c r="F11" s="1603"/>
      <c r="G11" s="68">
        <f>'Cash Flow'!E47</f>
        <v>0</v>
      </c>
      <c r="H11" s="68"/>
      <c r="I11" s="70">
        <f>'Cash Flow'!S47</f>
        <v>0</v>
      </c>
      <c r="J11" s="64"/>
    </row>
    <row r="12" spans="1:21" x14ac:dyDescent="0.25">
      <c r="A12" s="1601" t="s">
        <v>116</v>
      </c>
      <c r="B12" s="1602"/>
      <c r="C12" s="1602"/>
      <c r="D12" s="1602"/>
      <c r="E12" s="1602"/>
      <c r="F12" s="1603"/>
      <c r="G12" s="68">
        <f>G10-G11</f>
        <v>0</v>
      </c>
      <c r="H12" s="68"/>
      <c r="I12" s="70">
        <f>I10-I11</f>
        <v>0</v>
      </c>
    </row>
    <row r="13" spans="1:21" x14ac:dyDescent="0.25">
      <c r="A13" s="1601" t="s">
        <v>53</v>
      </c>
      <c r="B13" s="1602"/>
      <c r="C13" s="1602"/>
      <c r="D13" s="1602"/>
      <c r="E13" s="1602"/>
      <c r="F13" s="1603"/>
      <c r="G13" s="73" t="e">
        <f>G10/G11</f>
        <v>#DIV/0!</v>
      </c>
      <c r="H13" s="68"/>
      <c r="I13" s="74" t="e">
        <f>I10/I11</f>
        <v>#DIV/0!</v>
      </c>
    </row>
    <row r="14" spans="1:21" x14ac:dyDescent="0.25">
      <c r="A14" s="1601" t="s">
        <v>117</v>
      </c>
      <c r="B14" s="1602"/>
      <c r="C14" s="1602"/>
      <c r="D14" s="1602"/>
      <c r="E14" s="1602"/>
      <c r="F14" s="1603"/>
      <c r="G14" s="75">
        <f>'Cash Flow'!S1</f>
        <v>0.02</v>
      </c>
      <c r="H14" s="68"/>
      <c r="I14" s="76">
        <f>G14</f>
        <v>0.02</v>
      </c>
    </row>
    <row r="15" spans="1:21" ht="15.75" thickBot="1" x14ac:dyDescent="0.3">
      <c r="A15" s="1607" t="s">
        <v>673</v>
      </c>
      <c r="B15" s="1608"/>
      <c r="C15" s="1608"/>
      <c r="D15" s="1608"/>
      <c r="E15" s="1608"/>
      <c r="F15" s="1609"/>
      <c r="G15" s="77" t="e">
        <f>('Cash Flow'!D28*'Cash Flow'!E28+'Cash Flow'!D29*'Cash Flow'!E29+'Cash Flow'!D30*'Cash Flow'!E30+'Cash Flow'!D31*'Cash Flow'!E31+'Cash Flow'!D32*'Cash Flow'!E32+'Cash Flow'!D33*'Cash Flow'!E33+'Cash Flow'!D35*'Cash Flow'!E35)/('Cash Flow'!E28+'Cash Flow'!E29+'Cash Flow'!E30+'Cash Flow'!E31+'Cash Flow'!E32+'Cash Flow'!E33+'Cash Flow'!E35)</f>
        <v>#DIV/0!</v>
      </c>
      <c r="H15" s="78"/>
      <c r="I15" s="79" t="e">
        <f>G15</f>
        <v>#DIV/0!</v>
      </c>
    </row>
    <row r="16" spans="1:21" ht="16.5" thickBot="1" x14ac:dyDescent="0.3">
      <c r="A16" s="80"/>
      <c r="B16" s="80"/>
      <c r="C16" s="80"/>
      <c r="D16" s="80"/>
      <c r="E16" s="80"/>
      <c r="F16" s="80"/>
      <c r="G16" s="81"/>
      <c r="H16" s="81"/>
      <c r="I16" s="81"/>
      <c r="J16" s="64"/>
    </row>
    <row r="17" spans="1:9" ht="15.75" customHeight="1" thickBot="1" x14ac:dyDescent="0.3">
      <c r="A17" s="1535" t="s">
        <v>111</v>
      </c>
      <c r="B17" s="1536"/>
      <c r="C17" s="1536"/>
      <c r="D17" s="1536"/>
      <c r="E17" s="1536"/>
      <c r="F17" s="1536"/>
      <c r="G17" s="1536"/>
      <c r="H17" s="1536"/>
      <c r="I17" s="1537"/>
    </row>
    <row r="18" spans="1:9" x14ac:dyDescent="0.25">
      <c r="A18" s="1610"/>
      <c r="B18" s="1611"/>
      <c r="C18" s="1611"/>
      <c r="D18" s="1611"/>
      <c r="E18" s="1611"/>
      <c r="F18" s="66"/>
      <c r="G18" s="22" t="s">
        <v>56</v>
      </c>
      <c r="H18" s="3"/>
      <c r="I18" s="23" t="s">
        <v>57</v>
      </c>
    </row>
    <row r="19" spans="1:9" x14ac:dyDescent="0.25">
      <c r="A19" s="1203" t="s">
        <v>136</v>
      </c>
      <c r="B19" s="1193"/>
      <c r="C19" s="1193"/>
      <c r="D19" s="1193"/>
      <c r="E19" s="1193"/>
      <c r="F19" s="66"/>
      <c r="G19" s="22"/>
      <c r="H19" s="3"/>
      <c r="I19" s="425"/>
    </row>
    <row r="20" spans="1:9" x14ac:dyDescent="0.25">
      <c r="A20" s="1599" t="s">
        <v>118</v>
      </c>
      <c r="B20" s="1600"/>
      <c r="C20" s="1600"/>
      <c r="D20" s="1600"/>
      <c r="E20" s="1600"/>
      <c r="F20" s="8"/>
      <c r="G20" s="82" t="e">
        <f>ROUND(G6/G5/12,)</f>
        <v>#DIV/0!</v>
      </c>
      <c r="H20" s="8"/>
      <c r="I20" s="578" t="e">
        <f>ROUND(I6/I5/12,)</f>
        <v>#DIV/0!</v>
      </c>
    </row>
    <row r="21" spans="1:9" x14ac:dyDescent="0.25">
      <c r="A21" s="1203" t="s">
        <v>119</v>
      </c>
      <c r="B21" s="1193"/>
      <c r="C21" s="1193"/>
      <c r="D21" s="1193"/>
      <c r="E21" s="1193"/>
      <c r="F21" s="83" t="e">
        <f>G21/G20</f>
        <v>#DIV/0!</v>
      </c>
      <c r="G21" s="84" t="e">
        <f>ROUND(G12/$G$5/12,)</f>
        <v>#DIV/0!</v>
      </c>
      <c r="H21" s="83" t="e">
        <f>I21/I20</f>
        <v>#DIV/0!</v>
      </c>
      <c r="I21" s="579" t="e">
        <f>ROUND(I12/$G$5/12,)</f>
        <v>#DIV/0!</v>
      </c>
    </row>
    <row r="22" spans="1:9" x14ac:dyDescent="0.25">
      <c r="A22" s="1599" t="s">
        <v>120</v>
      </c>
      <c r="B22" s="1600"/>
      <c r="C22" s="1600"/>
      <c r="D22" s="1600"/>
      <c r="E22" s="1600"/>
      <c r="F22" s="8"/>
      <c r="G22" s="69" t="e">
        <f>G20-G21</f>
        <v>#DIV/0!</v>
      </c>
      <c r="H22" s="8"/>
      <c r="I22" s="580" t="e">
        <f>I20-I21</f>
        <v>#DIV/0!</v>
      </c>
    </row>
    <row r="23" spans="1:9" x14ac:dyDescent="0.25">
      <c r="A23" s="1614"/>
      <c r="B23" s="1615"/>
      <c r="C23" s="1615"/>
      <c r="D23" s="1615"/>
      <c r="E23" s="1616"/>
      <c r="F23" s="8"/>
      <c r="G23" s="69"/>
      <c r="H23" s="8"/>
      <c r="I23" s="580"/>
    </row>
    <row r="24" spans="1:9" x14ac:dyDescent="0.25">
      <c r="A24" s="1203" t="s">
        <v>137</v>
      </c>
      <c r="B24" s="1193"/>
      <c r="C24" s="1193"/>
      <c r="D24" s="1193"/>
      <c r="E24" s="1193"/>
      <c r="F24" s="8"/>
      <c r="G24" s="69"/>
      <c r="H24" s="8"/>
      <c r="I24" s="580"/>
    </row>
    <row r="25" spans="1:9" x14ac:dyDescent="0.25">
      <c r="A25" s="1599" t="s">
        <v>121</v>
      </c>
      <c r="B25" s="1600"/>
      <c r="C25" s="1600"/>
      <c r="D25" s="1600"/>
      <c r="E25" s="1600"/>
      <c r="F25" s="8"/>
      <c r="G25" s="85">
        <f>1-G8</f>
        <v>7.0000000000000062E-2</v>
      </c>
      <c r="H25" s="8"/>
      <c r="I25" s="581">
        <f>1-I8</f>
        <v>7.0000000000000062E-2</v>
      </c>
    </row>
    <row r="26" spans="1:9" x14ac:dyDescent="0.25">
      <c r="A26" s="1203" t="s">
        <v>122</v>
      </c>
      <c r="B26" s="1193"/>
      <c r="C26" s="1193"/>
      <c r="D26" s="1193"/>
      <c r="E26" s="1193"/>
      <c r="F26" s="83"/>
      <c r="G26" s="86" t="e">
        <f>G12/G7/G8</f>
        <v>#DIV/0!</v>
      </c>
      <c r="H26" s="83"/>
      <c r="I26" s="582" t="e">
        <f>I12/I7/I8</f>
        <v>#DIV/0!</v>
      </c>
    </row>
    <row r="27" spans="1:9" x14ac:dyDescent="0.25">
      <c r="A27" s="1599" t="s">
        <v>123</v>
      </c>
      <c r="B27" s="1600"/>
      <c r="C27" s="1600"/>
      <c r="D27" s="1600"/>
      <c r="E27" s="1600"/>
      <c r="F27" s="8"/>
      <c r="G27" s="85" t="e">
        <f>G25+G26</f>
        <v>#DIV/0!</v>
      </c>
      <c r="H27" s="8"/>
      <c r="I27" s="581" t="e">
        <f>I25+I26</f>
        <v>#DIV/0!</v>
      </c>
    </row>
    <row r="28" spans="1:9" x14ac:dyDescent="0.25">
      <c r="A28" s="1614"/>
      <c r="B28" s="1615"/>
      <c r="C28" s="1615"/>
      <c r="D28" s="1615"/>
      <c r="E28" s="1616"/>
      <c r="F28" s="8"/>
      <c r="G28" s="85"/>
      <c r="H28" s="8"/>
      <c r="I28" s="581"/>
    </row>
    <row r="29" spans="1:9" x14ac:dyDescent="0.25">
      <c r="A29" s="1203" t="s">
        <v>138</v>
      </c>
      <c r="B29" s="1193"/>
      <c r="C29" s="1193"/>
      <c r="D29" s="1193"/>
      <c r="E29" s="1193"/>
      <c r="F29" s="8"/>
      <c r="G29" s="85"/>
      <c r="H29" s="8"/>
      <c r="I29" s="581"/>
    </row>
    <row r="30" spans="1:9" x14ac:dyDescent="0.25">
      <c r="A30" s="1599" t="s">
        <v>124</v>
      </c>
      <c r="B30" s="1600"/>
      <c r="C30" s="1600"/>
      <c r="D30" s="1600"/>
      <c r="E30" s="1600"/>
      <c r="F30" s="8"/>
      <c r="G30" s="69" t="e">
        <f>G9/G5-(C45/G5)</f>
        <v>#DIV/0!</v>
      </c>
      <c r="H30" s="8"/>
      <c r="I30" s="580" t="e">
        <f>I9/I5-(Q45/I5)</f>
        <v>#DIV/0!</v>
      </c>
    </row>
    <row r="31" spans="1:9" x14ac:dyDescent="0.25">
      <c r="A31" s="1203" t="s">
        <v>125</v>
      </c>
      <c r="B31" s="1193"/>
      <c r="C31" s="1193"/>
      <c r="D31" s="1193"/>
      <c r="E31" s="1193"/>
      <c r="F31" s="83" t="e">
        <f>G31/G30</f>
        <v>#DIV/0!</v>
      </c>
      <c r="G31" s="84" t="e">
        <f>G12/G5</f>
        <v>#DIV/0!</v>
      </c>
      <c r="H31" s="83" t="e">
        <f>I31/I30</f>
        <v>#DIV/0!</v>
      </c>
      <c r="I31" s="579" t="e">
        <f>I12/I5</f>
        <v>#DIV/0!</v>
      </c>
    </row>
    <row r="32" spans="1:9" x14ac:dyDescent="0.25">
      <c r="A32" s="1614"/>
      <c r="B32" s="1615"/>
      <c r="C32" s="1615"/>
      <c r="D32" s="1615"/>
      <c r="E32" s="1616"/>
      <c r="F32" s="8"/>
      <c r="G32" s="82"/>
      <c r="H32" s="8"/>
      <c r="I32" s="578"/>
    </row>
    <row r="33" spans="1:17" x14ac:dyDescent="0.25">
      <c r="A33" s="1203" t="s">
        <v>139</v>
      </c>
      <c r="B33" s="1193"/>
      <c r="C33" s="1193"/>
      <c r="D33" s="1193"/>
      <c r="E33" s="1193"/>
      <c r="F33" s="8"/>
      <c r="G33" s="82"/>
      <c r="H33" s="8"/>
      <c r="I33" s="578"/>
    </row>
    <row r="34" spans="1:17" x14ac:dyDescent="0.25">
      <c r="A34" s="1601" t="s">
        <v>140</v>
      </c>
      <c r="B34" s="1602"/>
      <c r="C34" s="1602"/>
      <c r="D34" s="1602"/>
      <c r="E34" s="1602"/>
      <c r="F34" s="1602"/>
      <c r="G34" s="1602"/>
      <c r="H34" s="1603"/>
      <c r="I34" s="581">
        <f>V51</f>
        <v>8.2287455468726227E-3</v>
      </c>
    </row>
    <row r="35" spans="1:17" ht="15.75" thickBot="1" x14ac:dyDescent="0.3">
      <c r="A35" s="1621" t="s">
        <v>141</v>
      </c>
      <c r="B35" s="1608"/>
      <c r="C35" s="1608"/>
      <c r="D35" s="1608"/>
      <c r="E35" s="1608"/>
      <c r="F35" s="1608"/>
      <c r="G35" s="1608"/>
      <c r="H35" s="1609"/>
      <c r="I35" s="583">
        <f>V64</f>
        <v>5.1596925843744972E-2</v>
      </c>
    </row>
    <row r="36" spans="1:17" x14ac:dyDescent="0.25">
      <c r="F36" s="87"/>
      <c r="G36" s="87"/>
      <c r="H36" s="87"/>
      <c r="I36" s="87"/>
      <c r="J36" s="87"/>
    </row>
    <row r="37" spans="1:17" ht="15.75" thickBot="1" x14ac:dyDescent="0.3">
      <c r="F37" s="88"/>
    </row>
    <row r="38" spans="1:17" ht="15.75" customHeight="1" thickBot="1" x14ac:dyDescent="0.3">
      <c r="A38" s="1535" t="s">
        <v>126</v>
      </c>
      <c r="B38" s="1536"/>
      <c r="C38" s="1536"/>
      <c r="D38" s="1536"/>
      <c r="E38" s="1536"/>
      <c r="F38" s="1536"/>
      <c r="G38" s="1536"/>
      <c r="H38" s="1536"/>
      <c r="I38" s="1536"/>
      <c r="J38" s="1536"/>
      <c r="K38" s="1536"/>
      <c r="L38" s="1536"/>
      <c r="M38" s="1536"/>
      <c r="N38" s="1536"/>
      <c r="O38" s="1536"/>
      <c r="P38" s="1536"/>
      <c r="Q38" s="1537"/>
    </row>
    <row r="39" spans="1:17" x14ac:dyDescent="0.25">
      <c r="A39" s="1617" t="s">
        <v>127</v>
      </c>
      <c r="B39" s="1618"/>
      <c r="C39" s="584">
        <v>1</v>
      </c>
      <c r="D39" s="584">
        <v>2</v>
      </c>
      <c r="E39" s="584">
        <v>3</v>
      </c>
      <c r="F39" s="584">
        <v>4</v>
      </c>
      <c r="G39" s="584">
        <v>5</v>
      </c>
      <c r="H39" s="584">
        <v>6</v>
      </c>
      <c r="I39" s="584">
        <v>7</v>
      </c>
      <c r="J39" s="584">
        <v>8</v>
      </c>
      <c r="K39" s="584">
        <v>9</v>
      </c>
      <c r="L39" s="584">
        <v>10</v>
      </c>
      <c r="M39" s="584">
        <v>11</v>
      </c>
      <c r="N39" s="584">
        <v>12</v>
      </c>
      <c r="O39" s="584">
        <v>13</v>
      </c>
      <c r="P39" s="584">
        <v>14</v>
      </c>
      <c r="Q39" s="585">
        <v>15</v>
      </c>
    </row>
    <row r="40" spans="1:17" x14ac:dyDescent="0.25">
      <c r="A40" s="1619" t="s">
        <v>128</v>
      </c>
      <c r="B40" s="1620"/>
      <c r="C40" s="90">
        <f>'Cash Flow'!E24</f>
        <v>0</v>
      </c>
      <c r="D40" s="90">
        <f>'Cash Flow'!F24</f>
        <v>0</v>
      </c>
      <c r="E40" s="90">
        <f>'Cash Flow'!G24</f>
        <v>0</v>
      </c>
      <c r="F40" s="90">
        <f>'Cash Flow'!H24</f>
        <v>0</v>
      </c>
      <c r="G40" s="90">
        <f>'Cash Flow'!I24</f>
        <v>0</v>
      </c>
      <c r="H40" s="90">
        <f>'Cash Flow'!J24</f>
        <v>0</v>
      </c>
      <c r="I40" s="90">
        <f>'Cash Flow'!K24</f>
        <v>0</v>
      </c>
      <c r="J40" s="90">
        <f>'Cash Flow'!L24</f>
        <v>0</v>
      </c>
      <c r="K40" s="90">
        <f>'Cash Flow'!M24</f>
        <v>0</v>
      </c>
      <c r="L40" s="90">
        <f>'Cash Flow'!N24</f>
        <v>0</v>
      </c>
      <c r="M40" s="90">
        <f>'Cash Flow'!O24</f>
        <v>0</v>
      </c>
      <c r="N40" s="90">
        <f>'Cash Flow'!P24</f>
        <v>0</v>
      </c>
      <c r="O40" s="90">
        <f>'Cash Flow'!Q24</f>
        <v>0</v>
      </c>
      <c r="P40" s="90">
        <f>'Cash Flow'!R24</f>
        <v>0</v>
      </c>
      <c r="Q40" s="586">
        <f>'Cash Flow'!S24</f>
        <v>0</v>
      </c>
    </row>
    <row r="41" spans="1:17" x14ac:dyDescent="0.25">
      <c r="A41" s="1619" t="s">
        <v>129</v>
      </c>
      <c r="B41" s="1620"/>
      <c r="C41" s="90">
        <f>'Cash Flow'!E39</f>
        <v>0</v>
      </c>
      <c r="D41" s="90">
        <f>'Cash Flow'!F39</f>
        <v>0</v>
      </c>
      <c r="E41" s="90">
        <f>'Cash Flow'!G39</f>
        <v>0</v>
      </c>
      <c r="F41" s="90">
        <f>'Cash Flow'!H39</f>
        <v>0</v>
      </c>
      <c r="G41" s="90">
        <f>'Cash Flow'!I39</f>
        <v>0</v>
      </c>
      <c r="H41" s="90">
        <f>'Cash Flow'!J39</f>
        <v>0</v>
      </c>
      <c r="I41" s="90">
        <f>'Cash Flow'!K39</f>
        <v>0</v>
      </c>
      <c r="J41" s="90">
        <f>'Cash Flow'!L39</f>
        <v>0</v>
      </c>
      <c r="K41" s="90">
        <f>'Cash Flow'!M39</f>
        <v>0</v>
      </c>
      <c r="L41" s="90">
        <f>'Cash Flow'!N39</f>
        <v>0</v>
      </c>
      <c r="M41" s="90">
        <f>'Cash Flow'!O39</f>
        <v>0</v>
      </c>
      <c r="N41" s="90">
        <f>'Cash Flow'!P39</f>
        <v>0</v>
      </c>
      <c r="O41" s="90">
        <f>'Cash Flow'!Q39</f>
        <v>0</v>
      </c>
      <c r="P41" s="90">
        <f>'Cash Flow'!R39</f>
        <v>0</v>
      </c>
      <c r="Q41" s="586">
        <f>'Cash Flow'!S39</f>
        <v>0</v>
      </c>
    </row>
    <row r="42" spans="1:17" x14ac:dyDescent="0.25">
      <c r="A42" s="1619" t="s">
        <v>130</v>
      </c>
      <c r="B42" s="1620"/>
      <c r="C42" s="90">
        <f t="shared" ref="C42:Q42" si="0">C40+C41</f>
        <v>0</v>
      </c>
      <c r="D42" s="90">
        <f t="shared" si="0"/>
        <v>0</v>
      </c>
      <c r="E42" s="90">
        <f t="shared" si="0"/>
        <v>0</v>
      </c>
      <c r="F42" s="90">
        <f t="shared" si="0"/>
        <v>0</v>
      </c>
      <c r="G42" s="90">
        <f t="shared" si="0"/>
        <v>0</v>
      </c>
      <c r="H42" s="90">
        <f t="shared" si="0"/>
        <v>0</v>
      </c>
      <c r="I42" s="90">
        <f t="shared" si="0"/>
        <v>0</v>
      </c>
      <c r="J42" s="90">
        <f t="shared" si="0"/>
        <v>0</v>
      </c>
      <c r="K42" s="90">
        <f t="shared" si="0"/>
        <v>0</v>
      </c>
      <c r="L42" s="90">
        <f t="shared" si="0"/>
        <v>0</v>
      </c>
      <c r="M42" s="90">
        <f t="shared" si="0"/>
        <v>0</v>
      </c>
      <c r="N42" s="90">
        <f t="shared" si="0"/>
        <v>0</v>
      </c>
      <c r="O42" s="90">
        <f t="shared" si="0"/>
        <v>0</v>
      </c>
      <c r="P42" s="90">
        <f t="shared" si="0"/>
        <v>0</v>
      </c>
      <c r="Q42" s="586">
        <f t="shared" si="0"/>
        <v>0</v>
      </c>
    </row>
    <row r="43" spans="1:17" x14ac:dyDescent="0.25">
      <c r="A43" s="1619" t="s">
        <v>334</v>
      </c>
      <c r="B43" s="1620"/>
      <c r="C43" s="90">
        <f>'Cash Flow'!E36-C44-C45</f>
        <v>0</v>
      </c>
      <c r="D43" s="90">
        <f>'Cash Flow'!F36-D44-D45</f>
        <v>0</v>
      </c>
      <c r="E43" s="90">
        <f>'Cash Flow'!G36-E44-E45</f>
        <v>0</v>
      </c>
      <c r="F43" s="90">
        <f>'Cash Flow'!H36-F44-F45</f>
        <v>0</v>
      </c>
      <c r="G43" s="90">
        <f>'Cash Flow'!I36-G44-G45</f>
        <v>0</v>
      </c>
      <c r="H43" s="90">
        <f>'Cash Flow'!J36-H44-H45</f>
        <v>0</v>
      </c>
      <c r="I43" s="90">
        <f>'Cash Flow'!K36-I44-I45</f>
        <v>0</v>
      </c>
      <c r="J43" s="90">
        <f>'Cash Flow'!L36-J44-J45</f>
        <v>0</v>
      </c>
      <c r="K43" s="90">
        <f>'Cash Flow'!M36-K44-K45</f>
        <v>0</v>
      </c>
      <c r="L43" s="90">
        <f>'Cash Flow'!N36-L44-L45</f>
        <v>0</v>
      </c>
      <c r="M43" s="90">
        <f>'Cash Flow'!O36-M44-M45</f>
        <v>0</v>
      </c>
      <c r="N43" s="90">
        <f>'Cash Flow'!P36-N44-N45</f>
        <v>0</v>
      </c>
      <c r="O43" s="90">
        <f>'Cash Flow'!Q36-O44-O45</f>
        <v>0</v>
      </c>
      <c r="P43" s="90">
        <f>'Cash Flow'!R36-P44-P45</f>
        <v>0</v>
      </c>
      <c r="Q43" s="586">
        <f>'Cash Flow'!S36-Q44-Q45</f>
        <v>0</v>
      </c>
    </row>
    <row r="44" spans="1:17" x14ac:dyDescent="0.25">
      <c r="A44" s="587" t="s">
        <v>109</v>
      </c>
      <c r="B44" s="424"/>
      <c r="C44" s="90">
        <f>'Cash Flow'!E27</f>
        <v>0</v>
      </c>
      <c r="D44" s="90">
        <f>'Cash Flow'!F27</f>
        <v>0</v>
      </c>
      <c r="E44" s="90">
        <f>'Cash Flow'!G27</f>
        <v>0</v>
      </c>
      <c r="F44" s="90">
        <f>'Cash Flow'!H27</f>
        <v>0</v>
      </c>
      <c r="G44" s="90">
        <f>'Cash Flow'!I27</f>
        <v>0</v>
      </c>
      <c r="H44" s="90">
        <f>'Cash Flow'!J27</f>
        <v>0</v>
      </c>
      <c r="I44" s="90">
        <f>'Cash Flow'!K27</f>
        <v>0</v>
      </c>
      <c r="J44" s="90">
        <f>'Cash Flow'!L27</f>
        <v>0</v>
      </c>
      <c r="K44" s="90">
        <f>'Cash Flow'!M27</f>
        <v>0</v>
      </c>
      <c r="L44" s="90">
        <f>'Cash Flow'!N27</f>
        <v>0</v>
      </c>
      <c r="M44" s="90">
        <f>'Cash Flow'!O27</f>
        <v>0</v>
      </c>
      <c r="N44" s="90">
        <f>'Cash Flow'!P27</f>
        <v>0</v>
      </c>
      <c r="O44" s="90">
        <f>'Cash Flow'!Q27</f>
        <v>0</v>
      </c>
      <c r="P44" s="90">
        <f>'Cash Flow'!R27</f>
        <v>0</v>
      </c>
      <c r="Q44" s="586">
        <f>'Cash Flow'!S27</f>
        <v>0</v>
      </c>
    </row>
    <row r="45" spans="1:17" x14ac:dyDescent="0.25">
      <c r="A45" s="1619" t="s">
        <v>23</v>
      </c>
      <c r="B45" s="1620"/>
      <c r="C45" s="90">
        <f>'Cash Flow'!E34</f>
        <v>0</v>
      </c>
      <c r="D45" s="90">
        <f>'Cash Flow'!F34</f>
        <v>0</v>
      </c>
      <c r="E45" s="90">
        <f>'Cash Flow'!G34</f>
        <v>0</v>
      </c>
      <c r="F45" s="90">
        <f>'Cash Flow'!H34</f>
        <v>0</v>
      </c>
      <c r="G45" s="90">
        <f>'Cash Flow'!I34</f>
        <v>0</v>
      </c>
      <c r="H45" s="90">
        <f>'Cash Flow'!J34</f>
        <v>0</v>
      </c>
      <c r="I45" s="90">
        <f>'Cash Flow'!K34</f>
        <v>0</v>
      </c>
      <c r="J45" s="90">
        <f>'Cash Flow'!L34</f>
        <v>0</v>
      </c>
      <c r="K45" s="90">
        <f>'Cash Flow'!M34</f>
        <v>0</v>
      </c>
      <c r="L45" s="90">
        <f>'Cash Flow'!N34</f>
        <v>0</v>
      </c>
      <c r="M45" s="90">
        <f>'Cash Flow'!O34</f>
        <v>0</v>
      </c>
      <c r="N45" s="90">
        <f>'Cash Flow'!P34</f>
        <v>0</v>
      </c>
      <c r="O45" s="90">
        <f>'Cash Flow'!Q34</f>
        <v>0</v>
      </c>
      <c r="P45" s="90">
        <f>'Cash Flow'!R34</f>
        <v>0</v>
      </c>
      <c r="Q45" s="586">
        <f>'Cash Flow'!S34</f>
        <v>0</v>
      </c>
    </row>
    <row r="46" spans="1:17" x14ac:dyDescent="0.25">
      <c r="A46" s="1619" t="s">
        <v>51</v>
      </c>
      <c r="B46" s="1620"/>
      <c r="C46" s="90">
        <f>'Cash Flow'!E47</f>
        <v>0</v>
      </c>
      <c r="D46" s="90">
        <f>'Cash Flow'!F47</f>
        <v>0</v>
      </c>
      <c r="E46" s="90">
        <f>'Cash Flow'!G47</f>
        <v>0</v>
      </c>
      <c r="F46" s="90">
        <f>'Cash Flow'!H47</f>
        <v>0</v>
      </c>
      <c r="G46" s="90">
        <f>'Cash Flow'!I47</f>
        <v>0</v>
      </c>
      <c r="H46" s="90">
        <f>'Cash Flow'!J47</f>
        <v>0</v>
      </c>
      <c r="I46" s="90">
        <f>'Cash Flow'!K47</f>
        <v>0</v>
      </c>
      <c r="J46" s="90">
        <f>'Cash Flow'!L47</f>
        <v>0</v>
      </c>
      <c r="K46" s="90">
        <f>'Cash Flow'!M47</f>
        <v>0</v>
      </c>
      <c r="L46" s="90">
        <f>'Cash Flow'!N47</f>
        <v>0</v>
      </c>
      <c r="M46" s="90">
        <f>'Cash Flow'!O47</f>
        <v>0</v>
      </c>
      <c r="N46" s="90">
        <f>'Cash Flow'!P47</f>
        <v>0</v>
      </c>
      <c r="O46" s="90">
        <f>'Cash Flow'!Q47</f>
        <v>0</v>
      </c>
      <c r="P46" s="90">
        <f>'Cash Flow'!R47</f>
        <v>0</v>
      </c>
      <c r="Q46" s="586">
        <f>'Cash Flow'!S47</f>
        <v>0</v>
      </c>
    </row>
    <row r="47" spans="1:17" x14ac:dyDescent="0.25">
      <c r="A47" s="1619" t="s">
        <v>131</v>
      </c>
      <c r="B47" s="1620"/>
      <c r="C47" s="90">
        <f>C43+C45+C46+C44</f>
        <v>0</v>
      </c>
      <c r="D47" s="90">
        <f t="shared" ref="D47:Q47" si="1">D43+D45+D46+D44</f>
        <v>0</v>
      </c>
      <c r="E47" s="90">
        <f t="shared" si="1"/>
        <v>0</v>
      </c>
      <c r="F47" s="90">
        <f t="shared" si="1"/>
        <v>0</v>
      </c>
      <c r="G47" s="90">
        <f t="shared" si="1"/>
        <v>0</v>
      </c>
      <c r="H47" s="90">
        <f t="shared" si="1"/>
        <v>0</v>
      </c>
      <c r="I47" s="90">
        <f t="shared" si="1"/>
        <v>0</v>
      </c>
      <c r="J47" s="90">
        <f t="shared" si="1"/>
        <v>0</v>
      </c>
      <c r="K47" s="90">
        <f t="shared" si="1"/>
        <v>0</v>
      </c>
      <c r="L47" s="90">
        <f t="shared" si="1"/>
        <v>0</v>
      </c>
      <c r="M47" s="90">
        <f t="shared" si="1"/>
        <v>0</v>
      </c>
      <c r="N47" s="90">
        <f t="shared" si="1"/>
        <v>0</v>
      </c>
      <c r="O47" s="90">
        <f t="shared" si="1"/>
        <v>0</v>
      </c>
      <c r="P47" s="90">
        <f t="shared" si="1"/>
        <v>0</v>
      </c>
      <c r="Q47" s="586">
        <f t="shared" si="1"/>
        <v>0</v>
      </c>
    </row>
    <row r="48" spans="1:17" ht="15.75" thickBot="1" x14ac:dyDescent="0.3">
      <c r="A48" s="1612" t="s">
        <v>116</v>
      </c>
      <c r="B48" s="1613"/>
      <c r="C48" s="588">
        <f>C42-C47</f>
        <v>0</v>
      </c>
      <c r="D48" s="588">
        <f t="shared" ref="D48:Q48" si="2">D42-D47</f>
        <v>0</v>
      </c>
      <c r="E48" s="588">
        <f t="shared" si="2"/>
        <v>0</v>
      </c>
      <c r="F48" s="588">
        <f t="shared" si="2"/>
        <v>0</v>
      </c>
      <c r="G48" s="588">
        <f t="shared" si="2"/>
        <v>0</v>
      </c>
      <c r="H48" s="588">
        <f t="shared" si="2"/>
        <v>0</v>
      </c>
      <c r="I48" s="588">
        <f t="shared" si="2"/>
        <v>0</v>
      </c>
      <c r="J48" s="588">
        <f t="shared" si="2"/>
        <v>0</v>
      </c>
      <c r="K48" s="588">
        <f t="shared" si="2"/>
        <v>0</v>
      </c>
      <c r="L48" s="588">
        <f t="shared" si="2"/>
        <v>0</v>
      </c>
      <c r="M48" s="588">
        <f t="shared" si="2"/>
        <v>0</v>
      </c>
      <c r="N48" s="588">
        <f t="shared" si="2"/>
        <v>0</v>
      </c>
      <c r="O48" s="588">
        <f t="shared" si="2"/>
        <v>0</v>
      </c>
      <c r="P48" s="588">
        <f t="shared" si="2"/>
        <v>0</v>
      </c>
      <c r="Q48" s="589">
        <f t="shared" si="2"/>
        <v>0</v>
      </c>
    </row>
    <row r="49" spans="1:22" ht="15.75" thickBot="1" x14ac:dyDescent="0.3"/>
    <row r="50" spans="1:22" ht="15.75" customHeight="1" thickBot="1" x14ac:dyDescent="0.3">
      <c r="A50" s="1535" t="s">
        <v>132</v>
      </c>
      <c r="B50" s="1536"/>
      <c r="C50" s="1536"/>
      <c r="D50" s="1536"/>
      <c r="E50" s="1536"/>
      <c r="F50" s="1536"/>
      <c r="G50" s="1536"/>
      <c r="H50" s="1536"/>
      <c r="I50" s="1536"/>
      <c r="J50" s="1536"/>
      <c r="K50" s="1536"/>
      <c r="L50" s="1536"/>
      <c r="M50" s="1536"/>
      <c r="N50" s="1536"/>
      <c r="O50" s="1536"/>
      <c r="P50" s="1536"/>
      <c r="Q50" s="1537"/>
    </row>
    <row r="51" spans="1:22" x14ac:dyDescent="0.25">
      <c r="A51" s="1617" t="s">
        <v>127</v>
      </c>
      <c r="B51" s="1618"/>
      <c r="C51" s="89">
        <v>1</v>
      </c>
      <c r="D51" s="89">
        <v>2</v>
      </c>
      <c r="E51" s="89">
        <v>3</v>
      </c>
      <c r="F51" s="89">
        <v>4</v>
      </c>
      <c r="G51" s="89">
        <v>5</v>
      </c>
      <c r="H51" s="89">
        <v>6</v>
      </c>
      <c r="I51" s="89">
        <v>7</v>
      </c>
      <c r="J51" s="89">
        <v>8</v>
      </c>
      <c r="K51" s="89">
        <v>9</v>
      </c>
      <c r="L51" s="89">
        <v>10</v>
      </c>
      <c r="M51" s="89">
        <v>11</v>
      </c>
      <c r="N51" s="89">
        <v>12</v>
      </c>
      <c r="O51" s="89">
        <v>13</v>
      </c>
      <c r="P51" s="89">
        <v>14</v>
      </c>
      <c r="Q51" s="590">
        <v>15</v>
      </c>
      <c r="S51" s="91"/>
      <c r="T51" s="91"/>
      <c r="U51" s="91" t="s">
        <v>133</v>
      </c>
      <c r="V51" s="506">
        <v>8.2287455468726227E-3</v>
      </c>
    </row>
    <row r="52" spans="1:22" x14ac:dyDescent="0.25">
      <c r="A52" s="1619" t="s">
        <v>128</v>
      </c>
      <c r="B52" s="1620"/>
      <c r="C52" s="123">
        <f>C40</f>
        <v>0</v>
      </c>
      <c r="D52" s="123">
        <f>C52*(1+$V$51)</f>
        <v>0</v>
      </c>
      <c r="E52" s="123">
        <f t="shared" ref="E52:Q52" si="3">D52*(1+$V$51)</f>
        <v>0</v>
      </c>
      <c r="F52" s="123">
        <f t="shared" si="3"/>
        <v>0</v>
      </c>
      <c r="G52" s="123">
        <f t="shared" si="3"/>
        <v>0</v>
      </c>
      <c r="H52" s="123">
        <f t="shared" si="3"/>
        <v>0</v>
      </c>
      <c r="I52" s="123">
        <f t="shared" si="3"/>
        <v>0</v>
      </c>
      <c r="J52" s="123">
        <f t="shared" si="3"/>
        <v>0</v>
      </c>
      <c r="K52" s="123">
        <f t="shared" si="3"/>
        <v>0</v>
      </c>
      <c r="L52" s="123">
        <f t="shared" si="3"/>
        <v>0</v>
      </c>
      <c r="M52" s="123">
        <f t="shared" si="3"/>
        <v>0</v>
      </c>
      <c r="N52" s="123">
        <f t="shared" si="3"/>
        <v>0</v>
      </c>
      <c r="O52" s="123">
        <f t="shared" si="3"/>
        <v>0</v>
      </c>
      <c r="P52" s="123">
        <f t="shared" si="3"/>
        <v>0</v>
      </c>
      <c r="Q52" s="591">
        <f t="shared" si="3"/>
        <v>0</v>
      </c>
      <c r="S52" s="91"/>
      <c r="T52" s="91"/>
      <c r="U52" s="91" t="s">
        <v>134</v>
      </c>
      <c r="V52" s="92" t="e">
        <f>G15</f>
        <v>#DIV/0!</v>
      </c>
    </row>
    <row r="53" spans="1:22" x14ac:dyDescent="0.25">
      <c r="A53" s="1619" t="s">
        <v>129</v>
      </c>
      <c r="B53" s="1620"/>
      <c r="C53" s="90">
        <f>C41</f>
        <v>0</v>
      </c>
      <c r="D53" s="90">
        <f t="shared" ref="D53:Q53" si="4">D41</f>
        <v>0</v>
      </c>
      <c r="E53" s="90">
        <f t="shared" si="4"/>
        <v>0</v>
      </c>
      <c r="F53" s="90">
        <f t="shared" si="4"/>
        <v>0</v>
      </c>
      <c r="G53" s="90">
        <f t="shared" si="4"/>
        <v>0</v>
      </c>
      <c r="H53" s="90">
        <f t="shared" si="4"/>
        <v>0</v>
      </c>
      <c r="I53" s="90">
        <f t="shared" si="4"/>
        <v>0</v>
      </c>
      <c r="J53" s="90">
        <f t="shared" si="4"/>
        <v>0</v>
      </c>
      <c r="K53" s="90">
        <f t="shared" si="4"/>
        <v>0</v>
      </c>
      <c r="L53" s="90">
        <f t="shared" si="4"/>
        <v>0</v>
      </c>
      <c r="M53" s="90">
        <f t="shared" si="4"/>
        <v>0</v>
      </c>
      <c r="N53" s="90">
        <f t="shared" si="4"/>
        <v>0</v>
      </c>
      <c r="O53" s="90">
        <f t="shared" si="4"/>
        <v>0</v>
      </c>
      <c r="P53" s="90">
        <f t="shared" si="4"/>
        <v>0</v>
      </c>
      <c r="Q53" s="586">
        <f t="shared" si="4"/>
        <v>0</v>
      </c>
    </row>
    <row r="54" spans="1:22" x14ac:dyDescent="0.25">
      <c r="A54" s="1619" t="s">
        <v>130</v>
      </c>
      <c r="B54" s="1620"/>
      <c r="C54" s="90">
        <f>C52+C53</f>
        <v>0</v>
      </c>
      <c r="D54" s="90">
        <f t="shared" ref="D54:Q54" si="5">D52+D53</f>
        <v>0</v>
      </c>
      <c r="E54" s="90">
        <f t="shared" si="5"/>
        <v>0</v>
      </c>
      <c r="F54" s="90">
        <f t="shared" si="5"/>
        <v>0</v>
      </c>
      <c r="G54" s="90">
        <f t="shared" si="5"/>
        <v>0</v>
      </c>
      <c r="H54" s="90">
        <f t="shared" si="5"/>
        <v>0</v>
      </c>
      <c r="I54" s="90">
        <f t="shared" si="5"/>
        <v>0</v>
      </c>
      <c r="J54" s="90">
        <f t="shared" si="5"/>
        <v>0</v>
      </c>
      <c r="K54" s="90">
        <f t="shared" si="5"/>
        <v>0</v>
      </c>
      <c r="L54" s="90">
        <f t="shared" si="5"/>
        <v>0</v>
      </c>
      <c r="M54" s="90">
        <f t="shared" si="5"/>
        <v>0</v>
      </c>
      <c r="N54" s="90">
        <f t="shared" si="5"/>
        <v>0</v>
      </c>
      <c r="O54" s="90">
        <f t="shared" si="5"/>
        <v>0</v>
      </c>
      <c r="P54" s="90">
        <f t="shared" si="5"/>
        <v>0</v>
      </c>
      <c r="Q54" s="586">
        <f t="shared" si="5"/>
        <v>0</v>
      </c>
    </row>
    <row r="55" spans="1:22" x14ac:dyDescent="0.25">
      <c r="A55" s="1619" t="s">
        <v>334</v>
      </c>
      <c r="B55" s="1620"/>
      <c r="C55" s="90">
        <f>C43</f>
        <v>0</v>
      </c>
      <c r="D55" s="90">
        <f t="shared" ref="D55:Q55" si="6">D43</f>
        <v>0</v>
      </c>
      <c r="E55" s="90">
        <f t="shared" si="6"/>
        <v>0</v>
      </c>
      <c r="F55" s="90">
        <f t="shared" si="6"/>
        <v>0</v>
      </c>
      <c r="G55" s="90">
        <f t="shared" si="6"/>
        <v>0</v>
      </c>
      <c r="H55" s="90">
        <f t="shared" si="6"/>
        <v>0</v>
      </c>
      <c r="I55" s="90">
        <f t="shared" si="6"/>
        <v>0</v>
      </c>
      <c r="J55" s="90">
        <f t="shared" si="6"/>
        <v>0</v>
      </c>
      <c r="K55" s="90">
        <f t="shared" si="6"/>
        <v>0</v>
      </c>
      <c r="L55" s="90">
        <f t="shared" si="6"/>
        <v>0</v>
      </c>
      <c r="M55" s="90">
        <f t="shared" si="6"/>
        <v>0</v>
      </c>
      <c r="N55" s="90">
        <f t="shared" si="6"/>
        <v>0</v>
      </c>
      <c r="O55" s="90">
        <f t="shared" si="6"/>
        <v>0</v>
      </c>
      <c r="P55" s="90">
        <f t="shared" si="6"/>
        <v>0</v>
      </c>
      <c r="Q55" s="586">
        <f t="shared" si="6"/>
        <v>0</v>
      </c>
    </row>
    <row r="56" spans="1:22" x14ac:dyDescent="0.25">
      <c r="A56" s="587" t="s">
        <v>109</v>
      </c>
      <c r="B56" s="424"/>
      <c r="C56" s="123">
        <f>C44</f>
        <v>0</v>
      </c>
      <c r="D56" s="123">
        <f>C56*(1+$V$51)</f>
        <v>0</v>
      </c>
      <c r="E56" s="123">
        <f t="shared" ref="E56:Q56" si="7">D56*(1+$V$51)</f>
        <v>0</v>
      </c>
      <c r="F56" s="123">
        <f t="shared" si="7"/>
        <v>0</v>
      </c>
      <c r="G56" s="123">
        <f t="shared" si="7"/>
        <v>0</v>
      </c>
      <c r="H56" s="123">
        <f t="shared" si="7"/>
        <v>0</v>
      </c>
      <c r="I56" s="123">
        <f t="shared" si="7"/>
        <v>0</v>
      </c>
      <c r="J56" s="123">
        <f t="shared" si="7"/>
        <v>0</v>
      </c>
      <c r="K56" s="123">
        <f t="shared" si="7"/>
        <v>0</v>
      </c>
      <c r="L56" s="123">
        <f t="shared" si="7"/>
        <v>0</v>
      </c>
      <c r="M56" s="123">
        <f t="shared" si="7"/>
        <v>0</v>
      </c>
      <c r="N56" s="123">
        <f t="shared" si="7"/>
        <v>0</v>
      </c>
      <c r="O56" s="123">
        <f t="shared" si="7"/>
        <v>0</v>
      </c>
      <c r="P56" s="123">
        <f t="shared" si="7"/>
        <v>0</v>
      </c>
      <c r="Q56" s="591">
        <f t="shared" si="7"/>
        <v>0</v>
      </c>
    </row>
    <row r="57" spans="1:22" x14ac:dyDescent="0.25">
      <c r="A57" s="1619" t="s">
        <v>23</v>
      </c>
      <c r="B57" s="1620"/>
      <c r="C57" s="90">
        <f>C45</f>
        <v>0</v>
      </c>
      <c r="D57" s="90">
        <f t="shared" ref="D57:Q57" si="8">D45</f>
        <v>0</v>
      </c>
      <c r="E57" s="90">
        <f t="shared" si="8"/>
        <v>0</v>
      </c>
      <c r="F57" s="90">
        <f t="shared" si="8"/>
        <v>0</v>
      </c>
      <c r="G57" s="90">
        <f t="shared" si="8"/>
        <v>0</v>
      </c>
      <c r="H57" s="90">
        <f t="shared" si="8"/>
        <v>0</v>
      </c>
      <c r="I57" s="90">
        <f t="shared" si="8"/>
        <v>0</v>
      </c>
      <c r="J57" s="90">
        <f t="shared" si="8"/>
        <v>0</v>
      </c>
      <c r="K57" s="90">
        <f t="shared" si="8"/>
        <v>0</v>
      </c>
      <c r="L57" s="90">
        <f t="shared" si="8"/>
        <v>0</v>
      </c>
      <c r="M57" s="90">
        <f t="shared" si="8"/>
        <v>0</v>
      </c>
      <c r="N57" s="90">
        <f t="shared" si="8"/>
        <v>0</v>
      </c>
      <c r="O57" s="90">
        <f t="shared" si="8"/>
        <v>0</v>
      </c>
      <c r="P57" s="90">
        <f t="shared" si="8"/>
        <v>0</v>
      </c>
      <c r="Q57" s="586">
        <f t="shared" si="8"/>
        <v>0</v>
      </c>
    </row>
    <row r="58" spans="1:22" x14ac:dyDescent="0.25">
      <c r="A58" s="1619" t="s">
        <v>51</v>
      </c>
      <c r="B58" s="1620"/>
      <c r="C58" s="90">
        <f>C46</f>
        <v>0</v>
      </c>
      <c r="D58" s="90">
        <f t="shared" ref="D58:Q58" si="9">D46</f>
        <v>0</v>
      </c>
      <c r="E58" s="90">
        <f t="shared" si="9"/>
        <v>0</v>
      </c>
      <c r="F58" s="90">
        <f t="shared" si="9"/>
        <v>0</v>
      </c>
      <c r="G58" s="90">
        <f t="shared" si="9"/>
        <v>0</v>
      </c>
      <c r="H58" s="90">
        <f t="shared" si="9"/>
        <v>0</v>
      </c>
      <c r="I58" s="90">
        <f t="shared" si="9"/>
        <v>0</v>
      </c>
      <c r="J58" s="90">
        <f t="shared" si="9"/>
        <v>0</v>
      </c>
      <c r="K58" s="90">
        <f t="shared" si="9"/>
        <v>0</v>
      </c>
      <c r="L58" s="90">
        <f t="shared" si="9"/>
        <v>0</v>
      </c>
      <c r="M58" s="90">
        <f t="shared" si="9"/>
        <v>0</v>
      </c>
      <c r="N58" s="90">
        <f t="shared" si="9"/>
        <v>0</v>
      </c>
      <c r="O58" s="90">
        <f t="shared" si="9"/>
        <v>0</v>
      </c>
      <c r="P58" s="90">
        <f t="shared" si="9"/>
        <v>0</v>
      </c>
      <c r="Q58" s="586">
        <f t="shared" si="9"/>
        <v>0</v>
      </c>
    </row>
    <row r="59" spans="1:22" x14ac:dyDescent="0.25">
      <c r="A59" s="1619" t="s">
        <v>131</v>
      </c>
      <c r="B59" s="1620"/>
      <c r="C59" s="90">
        <f>C55+C57+C58+C56</f>
        <v>0</v>
      </c>
      <c r="D59" s="90">
        <f t="shared" ref="D59:Q59" si="10">D55+D57+D58+D56</f>
        <v>0</v>
      </c>
      <c r="E59" s="90">
        <f t="shared" si="10"/>
        <v>0</v>
      </c>
      <c r="F59" s="90">
        <f t="shared" si="10"/>
        <v>0</v>
      </c>
      <c r="G59" s="90">
        <f t="shared" si="10"/>
        <v>0</v>
      </c>
      <c r="H59" s="90">
        <f t="shared" si="10"/>
        <v>0</v>
      </c>
      <c r="I59" s="90">
        <f t="shared" si="10"/>
        <v>0</v>
      </c>
      <c r="J59" s="90">
        <f t="shared" si="10"/>
        <v>0</v>
      </c>
      <c r="K59" s="90">
        <f t="shared" si="10"/>
        <v>0</v>
      </c>
      <c r="L59" s="90">
        <f t="shared" si="10"/>
        <v>0</v>
      </c>
      <c r="M59" s="90">
        <f t="shared" si="10"/>
        <v>0</v>
      </c>
      <c r="N59" s="90">
        <f t="shared" si="10"/>
        <v>0</v>
      </c>
      <c r="O59" s="90">
        <f t="shared" si="10"/>
        <v>0</v>
      </c>
      <c r="P59" s="90">
        <f t="shared" si="10"/>
        <v>0</v>
      </c>
      <c r="Q59" s="586">
        <f t="shared" si="10"/>
        <v>0</v>
      </c>
    </row>
    <row r="60" spans="1:22" ht="15.75" thickBot="1" x14ac:dyDescent="0.3">
      <c r="A60" s="1612" t="s">
        <v>116</v>
      </c>
      <c r="B60" s="1613"/>
      <c r="C60" s="588">
        <f>C54-C59</f>
        <v>0</v>
      </c>
      <c r="D60" s="588">
        <f t="shared" ref="D60:Q60" si="11">D54-D59</f>
        <v>0</v>
      </c>
      <c r="E60" s="588">
        <f t="shared" si="11"/>
        <v>0</v>
      </c>
      <c r="F60" s="588">
        <f t="shared" si="11"/>
        <v>0</v>
      </c>
      <c r="G60" s="588">
        <f t="shared" si="11"/>
        <v>0</v>
      </c>
      <c r="H60" s="588">
        <f t="shared" si="11"/>
        <v>0</v>
      </c>
      <c r="I60" s="588">
        <f t="shared" si="11"/>
        <v>0</v>
      </c>
      <c r="J60" s="588">
        <f t="shared" si="11"/>
        <v>0</v>
      </c>
      <c r="K60" s="588">
        <f t="shared" si="11"/>
        <v>0</v>
      </c>
      <c r="L60" s="588">
        <f t="shared" si="11"/>
        <v>0</v>
      </c>
      <c r="M60" s="588">
        <f t="shared" si="11"/>
        <v>0</v>
      </c>
      <c r="N60" s="588">
        <f t="shared" si="11"/>
        <v>0</v>
      </c>
      <c r="O60" s="588">
        <f t="shared" si="11"/>
        <v>0</v>
      </c>
      <c r="P60" s="588">
        <f t="shared" si="11"/>
        <v>0</v>
      </c>
      <c r="Q60" s="592">
        <f t="shared" si="11"/>
        <v>0</v>
      </c>
    </row>
    <row r="61" spans="1:22" ht="15.75" thickBot="1" x14ac:dyDescent="0.3"/>
    <row r="62" spans="1:22" ht="15.75" customHeight="1" thickBot="1" x14ac:dyDescent="0.3">
      <c r="A62" s="1535" t="s">
        <v>135</v>
      </c>
      <c r="B62" s="1536"/>
      <c r="C62" s="1536"/>
      <c r="D62" s="1536"/>
      <c r="E62" s="1536"/>
      <c r="F62" s="1536"/>
      <c r="G62" s="1536"/>
      <c r="H62" s="1536"/>
      <c r="I62" s="1536"/>
      <c r="J62" s="1536"/>
      <c r="K62" s="1536"/>
      <c r="L62" s="1536"/>
      <c r="M62" s="1536"/>
      <c r="N62" s="1536"/>
      <c r="O62" s="1536"/>
      <c r="P62" s="1536"/>
      <c r="Q62" s="1537"/>
    </row>
    <row r="63" spans="1:22" x14ac:dyDescent="0.25">
      <c r="A63" s="1617" t="s">
        <v>127</v>
      </c>
      <c r="B63" s="1618"/>
      <c r="C63" s="89">
        <v>1</v>
      </c>
      <c r="D63" s="89">
        <v>2</v>
      </c>
      <c r="E63" s="89">
        <v>3</v>
      </c>
      <c r="F63" s="89">
        <v>4</v>
      </c>
      <c r="G63" s="89">
        <v>5</v>
      </c>
      <c r="H63" s="89">
        <v>6</v>
      </c>
      <c r="I63" s="89">
        <v>7</v>
      </c>
      <c r="J63" s="89">
        <v>8</v>
      </c>
      <c r="K63" s="89">
        <v>9</v>
      </c>
      <c r="L63" s="89">
        <v>10</v>
      </c>
      <c r="M63" s="89">
        <v>11</v>
      </c>
      <c r="N63" s="89">
        <v>12</v>
      </c>
      <c r="O63" s="89">
        <v>13</v>
      </c>
      <c r="P63" s="89">
        <v>14</v>
      </c>
      <c r="Q63" s="590">
        <v>15</v>
      </c>
      <c r="S63" s="91"/>
      <c r="T63" s="91"/>
      <c r="U63" s="91" t="s">
        <v>133</v>
      </c>
      <c r="V63" s="92">
        <f>G14</f>
        <v>0.02</v>
      </c>
    </row>
    <row r="64" spans="1:22" x14ac:dyDescent="0.25">
      <c r="A64" s="1619" t="s">
        <v>128</v>
      </c>
      <c r="B64" s="1620"/>
      <c r="C64" s="90">
        <f t="shared" ref="C64:Q64" si="12">C40</f>
        <v>0</v>
      </c>
      <c r="D64" s="90">
        <f t="shared" si="12"/>
        <v>0</v>
      </c>
      <c r="E64" s="90">
        <f t="shared" si="12"/>
        <v>0</v>
      </c>
      <c r="F64" s="90">
        <f t="shared" si="12"/>
        <v>0</v>
      </c>
      <c r="G64" s="90">
        <f t="shared" si="12"/>
        <v>0</v>
      </c>
      <c r="H64" s="90">
        <f t="shared" si="12"/>
        <v>0</v>
      </c>
      <c r="I64" s="90">
        <f t="shared" si="12"/>
        <v>0</v>
      </c>
      <c r="J64" s="90">
        <f t="shared" si="12"/>
        <v>0</v>
      </c>
      <c r="K64" s="90">
        <f t="shared" si="12"/>
        <v>0</v>
      </c>
      <c r="L64" s="90">
        <f t="shared" si="12"/>
        <v>0</v>
      </c>
      <c r="M64" s="90">
        <f t="shared" si="12"/>
        <v>0</v>
      </c>
      <c r="N64" s="90">
        <f t="shared" si="12"/>
        <v>0</v>
      </c>
      <c r="O64" s="90">
        <f t="shared" si="12"/>
        <v>0</v>
      </c>
      <c r="P64" s="90">
        <f t="shared" si="12"/>
        <v>0</v>
      </c>
      <c r="Q64" s="586">
        <f t="shared" si="12"/>
        <v>0</v>
      </c>
      <c r="S64" s="91"/>
      <c r="T64" s="91"/>
      <c r="U64" s="91" t="s">
        <v>134</v>
      </c>
      <c r="V64" s="506">
        <v>5.1596925843744972E-2</v>
      </c>
    </row>
    <row r="65" spans="1:17" x14ac:dyDescent="0.25">
      <c r="A65" s="1619" t="s">
        <v>129</v>
      </c>
      <c r="B65" s="1620"/>
      <c r="C65" s="90">
        <f t="shared" ref="C65:Q65" si="13">C41</f>
        <v>0</v>
      </c>
      <c r="D65" s="90">
        <f t="shared" si="13"/>
        <v>0</v>
      </c>
      <c r="E65" s="90">
        <f t="shared" si="13"/>
        <v>0</v>
      </c>
      <c r="F65" s="90">
        <f t="shared" si="13"/>
        <v>0</v>
      </c>
      <c r="G65" s="90">
        <f t="shared" si="13"/>
        <v>0</v>
      </c>
      <c r="H65" s="90">
        <f t="shared" si="13"/>
        <v>0</v>
      </c>
      <c r="I65" s="90">
        <f t="shared" si="13"/>
        <v>0</v>
      </c>
      <c r="J65" s="90">
        <f t="shared" si="13"/>
        <v>0</v>
      </c>
      <c r="K65" s="90">
        <f t="shared" si="13"/>
        <v>0</v>
      </c>
      <c r="L65" s="90">
        <f t="shared" si="13"/>
        <v>0</v>
      </c>
      <c r="M65" s="90">
        <f t="shared" si="13"/>
        <v>0</v>
      </c>
      <c r="N65" s="90">
        <f t="shared" si="13"/>
        <v>0</v>
      </c>
      <c r="O65" s="90">
        <f t="shared" si="13"/>
        <v>0</v>
      </c>
      <c r="P65" s="90">
        <f t="shared" si="13"/>
        <v>0</v>
      </c>
      <c r="Q65" s="586">
        <f t="shared" si="13"/>
        <v>0</v>
      </c>
    </row>
    <row r="66" spans="1:17" x14ac:dyDescent="0.25">
      <c r="A66" s="1619" t="s">
        <v>130</v>
      </c>
      <c r="B66" s="1620"/>
      <c r="C66" s="90">
        <f>C64+C65</f>
        <v>0</v>
      </c>
      <c r="D66" s="90">
        <f t="shared" ref="D66:Q66" si="14">D64+D65</f>
        <v>0</v>
      </c>
      <c r="E66" s="90">
        <f t="shared" si="14"/>
        <v>0</v>
      </c>
      <c r="F66" s="90">
        <f t="shared" si="14"/>
        <v>0</v>
      </c>
      <c r="G66" s="90">
        <f t="shared" si="14"/>
        <v>0</v>
      </c>
      <c r="H66" s="90">
        <f t="shared" si="14"/>
        <v>0</v>
      </c>
      <c r="I66" s="90">
        <f t="shared" si="14"/>
        <v>0</v>
      </c>
      <c r="J66" s="90">
        <f t="shared" si="14"/>
        <v>0</v>
      </c>
      <c r="K66" s="90">
        <f t="shared" si="14"/>
        <v>0</v>
      </c>
      <c r="L66" s="90">
        <f t="shared" si="14"/>
        <v>0</v>
      </c>
      <c r="M66" s="90">
        <f t="shared" si="14"/>
        <v>0</v>
      </c>
      <c r="N66" s="90">
        <f t="shared" si="14"/>
        <v>0</v>
      </c>
      <c r="O66" s="90">
        <f t="shared" si="14"/>
        <v>0</v>
      </c>
      <c r="P66" s="90">
        <f t="shared" si="14"/>
        <v>0</v>
      </c>
      <c r="Q66" s="586">
        <f t="shared" si="14"/>
        <v>0</v>
      </c>
    </row>
    <row r="67" spans="1:17" x14ac:dyDescent="0.25">
      <c r="A67" s="1619" t="s">
        <v>334</v>
      </c>
      <c r="B67" s="1620"/>
      <c r="C67" s="123">
        <f>C43</f>
        <v>0</v>
      </c>
      <c r="D67" s="123">
        <f>C67*(1+$V$64)</f>
        <v>0</v>
      </c>
      <c r="E67" s="123">
        <f t="shared" ref="E67:Q67" si="15">D67*(1+$V$64)</f>
        <v>0</v>
      </c>
      <c r="F67" s="123">
        <f t="shared" si="15"/>
        <v>0</v>
      </c>
      <c r="G67" s="123">
        <f t="shared" si="15"/>
        <v>0</v>
      </c>
      <c r="H67" s="123">
        <f t="shared" si="15"/>
        <v>0</v>
      </c>
      <c r="I67" s="123">
        <f t="shared" si="15"/>
        <v>0</v>
      </c>
      <c r="J67" s="123">
        <f t="shared" si="15"/>
        <v>0</v>
      </c>
      <c r="K67" s="123">
        <f t="shared" si="15"/>
        <v>0</v>
      </c>
      <c r="L67" s="123">
        <f t="shared" si="15"/>
        <v>0</v>
      </c>
      <c r="M67" s="123">
        <f t="shared" si="15"/>
        <v>0</v>
      </c>
      <c r="N67" s="123">
        <f t="shared" si="15"/>
        <v>0</v>
      </c>
      <c r="O67" s="123">
        <f t="shared" si="15"/>
        <v>0</v>
      </c>
      <c r="P67" s="123">
        <f t="shared" si="15"/>
        <v>0</v>
      </c>
      <c r="Q67" s="591">
        <f t="shared" si="15"/>
        <v>0</v>
      </c>
    </row>
    <row r="68" spans="1:17" x14ac:dyDescent="0.25">
      <c r="A68" s="587" t="s">
        <v>109</v>
      </c>
      <c r="B68" s="424"/>
      <c r="C68" s="90">
        <f>C44</f>
        <v>0</v>
      </c>
      <c r="D68" s="90">
        <f t="shared" ref="D68:Q68" si="16">D44</f>
        <v>0</v>
      </c>
      <c r="E68" s="90">
        <f t="shared" si="16"/>
        <v>0</v>
      </c>
      <c r="F68" s="90">
        <f t="shared" si="16"/>
        <v>0</v>
      </c>
      <c r="G68" s="90">
        <f t="shared" si="16"/>
        <v>0</v>
      </c>
      <c r="H68" s="90">
        <f t="shared" si="16"/>
        <v>0</v>
      </c>
      <c r="I68" s="90">
        <f t="shared" si="16"/>
        <v>0</v>
      </c>
      <c r="J68" s="90">
        <f t="shared" si="16"/>
        <v>0</v>
      </c>
      <c r="K68" s="90">
        <f t="shared" si="16"/>
        <v>0</v>
      </c>
      <c r="L68" s="90">
        <f t="shared" si="16"/>
        <v>0</v>
      </c>
      <c r="M68" s="90">
        <f t="shared" si="16"/>
        <v>0</v>
      </c>
      <c r="N68" s="90">
        <f t="shared" si="16"/>
        <v>0</v>
      </c>
      <c r="O68" s="90">
        <f t="shared" si="16"/>
        <v>0</v>
      </c>
      <c r="P68" s="90">
        <f t="shared" si="16"/>
        <v>0</v>
      </c>
      <c r="Q68" s="586">
        <f t="shared" si="16"/>
        <v>0</v>
      </c>
    </row>
    <row r="69" spans="1:17" x14ac:dyDescent="0.25">
      <c r="A69" s="1619" t="s">
        <v>23</v>
      </c>
      <c r="B69" s="1620"/>
      <c r="C69" s="90">
        <f>C45</f>
        <v>0</v>
      </c>
      <c r="D69" s="90">
        <f t="shared" ref="D69:Q69" si="17">D45</f>
        <v>0</v>
      </c>
      <c r="E69" s="90">
        <f t="shared" si="17"/>
        <v>0</v>
      </c>
      <c r="F69" s="90">
        <f t="shared" si="17"/>
        <v>0</v>
      </c>
      <c r="G69" s="90">
        <f t="shared" si="17"/>
        <v>0</v>
      </c>
      <c r="H69" s="90">
        <f t="shared" si="17"/>
        <v>0</v>
      </c>
      <c r="I69" s="90">
        <f t="shared" si="17"/>
        <v>0</v>
      </c>
      <c r="J69" s="90">
        <f t="shared" si="17"/>
        <v>0</v>
      </c>
      <c r="K69" s="90">
        <f t="shared" si="17"/>
        <v>0</v>
      </c>
      <c r="L69" s="90">
        <f t="shared" si="17"/>
        <v>0</v>
      </c>
      <c r="M69" s="90">
        <f t="shared" si="17"/>
        <v>0</v>
      </c>
      <c r="N69" s="90">
        <f t="shared" si="17"/>
        <v>0</v>
      </c>
      <c r="O69" s="90">
        <f t="shared" si="17"/>
        <v>0</v>
      </c>
      <c r="P69" s="90">
        <f t="shared" si="17"/>
        <v>0</v>
      </c>
      <c r="Q69" s="586">
        <f t="shared" si="17"/>
        <v>0</v>
      </c>
    </row>
    <row r="70" spans="1:17" x14ac:dyDescent="0.25">
      <c r="A70" s="1619" t="s">
        <v>51</v>
      </c>
      <c r="B70" s="1620"/>
      <c r="C70" s="90">
        <f>C46</f>
        <v>0</v>
      </c>
      <c r="D70" s="90">
        <f t="shared" ref="D70:Q70" si="18">D46</f>
        <v>0</v>
      </c>
      <c r="E70" s="90">
        <f t="shared" si="18"/>
        <v>0</v>
      </c>
      <c r="F70" s="90">
        <f t="shared" si="18"/>
        <v>0</v>
      </c>
      <c r="G70" s="90">
        <f t="shared" si="18"/>
        <v>0</v>
      </c>
      <c r="H70" s="90">
        <f t="shared" si="18"/>
        <v>0</v>
      </c>
      <c r="I70" s="90">
        <f t="shared" si="18"/>
        <v>0</v>
      </c>
      <c r="J70" s="90">
        <f t="shared" si="18"/>
        <v>0</v>
      </c>
      <c r="K70" s="90">
        <f t="shared" si="18"/>
        <v>0</v>
      </c>
      <c r="L70" s="90">
        <f t="shared" si="18"/>
        <v>0</v>
      </c>
      <c r="M70" s="90">
        <f t="shared" si="18"/>
        <v>0</v>
      </c>
      <c r="N70" s="90">
        <f t="shared" si="18"/>
        <v>0</v>
      </c>
      <c r="O70" s="90">
        <f t="shared" si="18"/>
        <v>0</v>
      </c>
      <c r="P70" s="90">
        <f t="shared" si="18"/>
        <v>0</v>
      </c>
      <c r="Q70" s="586">
        <f t="shared" si="18"/>
        <v>0</v>
      </c>
    </row>
    <row r="71" spans="1:17" x14ac:dyDescent="0.25">
      <c r="A71" s="1619" t="s">
        <v>131</v>
      </c>
      <c r="B71" s="1620"/>
      <c r="C71" s="90">
        <f>C67+C69+C70+C68</f>
        <v>0</v>
      </c>
      <c r="D71" s="90">
        <f t="shared" ref="D71:Q71" si="19">D67+D69+D70+D68</f>
        <v>0</v>
      </c>
      <c r="E71" s="90">
        <f t="shared" si="19"/>
        <v>0</v>
      </c>
      <c r="F71" s="90">
        <f t="shared" si="19"/>
        <v>0</v>
      </c>
      <c r="G71" s="90">
        <f t="shared" si="19"/>
        <v>0</v>
      </c>
      <c r="H71" s="90">
        <f t="shared" si="19"/>
        <v>0</v>
      </c>
      <c r="I71" s="90">
        <f t="shared" si="19"/>
        <v>0</v>
      </c>
      <c r="J71" s="90">
        <f t="shared" si="19"/>
        <v>0</v>
      </c>
      <c r="K71" s="90">
        <f t="shared" si="19"/>
        <v>0</v>
      </c>
      <c r="L71" s="90">
        <f t="shared" si="19"/>
        <v>0</v>
      </c>
      <c r="M71" s="90">
        <f t="shared" si="19"/>
        <v>0</v>
      </c>
      <c r="N71" s="90">
        <f t="shared" si="19"/>
        <v>0</v>
      </c>
      <c r="O71" s="90">
        <f t="shared" si="19"/>
        <v>0</v>
      </c>
      <c r="P71" s="90">
        <f t="shared" si="19"/>
        <v>0</v>
      </c>
      <c r="Q71" s="586">
        <f t="shared" si="19"/>
        <v>0</v>
      </c>
    </row>
    <row r="72" spans="1:17" ht="15.75" thickBot="1" x14ac:dyDescent="0.3">
      <c r="A72" s="1612" t="s">
        <v>116</v>
      </c>
      <c r="B72" s="1613"/>
      <c r="C72" s="588">
        <f>C66-C71</f>
        <v>0</v>
      </c>
      <c r="D72" s="588">
        <f t="shared" ref="D72:P72" si="20">D66-D71</f>
        <v>0</v>
      </c>
      <c r="E72" s="588">
        <f t="shared" si="20"/>
        <v>0</v>
      </c>
      <c r="F72" s="588">
        <f t="shared" si="20"/>
        <v>0</v>
      </c>
      <c r="G72" s="588">
        <f t="shared" si="20"/>
        <v>0</v>
      </c>
      <c r="H72" s="588">
        <f t="shared" si="20"/>
        <v>0</v>
      </c>
      <c r="I72" s="588">
        <f t="shared" si="20"/>
        <v>0</v>
      </c>
      <c r="J72" s="588">
        <f t="shared" si="20"/>
        <v>0</v>
      </c>
      <c r="K72" s="588">
        <f t="shared" si="20"/>
        <v>0</v>
      </c>
      <c r="L72" s="588">
        <f t="shared" si="20"/>
        <v>0</v>
      </c>
      <c r="M72" s="588">
        <f t="shared" si="20"/>
        <v>0</v>
      </c>
      <c r="N72" s="588">
        <f t="shared" si="20"/>
        <v>0</v>
      </c>
      <c r="O72" s="588">
        <f t="shared" si="20"/>
        <v>0</v>
      </c>
      <c r="P72" s="588">
        <f t="shared" si="20"/>
        <v>0</v>
      </c>
      <c r="Q72" s="592">
        <f>Q66-Q71</f>
        <v>0</v>
      </c>
    </row>
  </sheetData>
  <sheetProtection sheet="1" objects="1" scenarios="1" formatCells="0"/>
  <mergeCells count="63">
    <mergeCell ref="A25:E25"/>
    <mergeCell ref="A26:E26"/>
    <mergeCell ref="A31:E31"/>
    <mergeCell ref="A33:E33"/>
    <mergeCell ref="A45:B45"/>
    <mergeCell ref="A34:H34"/>
    <mergeCell ref="A35:H35"/>
    <mergeCell ref="A39:B39"/>
    <mergeCell ref="A40:B40"/>
    <mergeCell ref="A41:B41"/>
    <mergeCell ref="A29:E29"/>
    <mergeCell ref="A30:E30"/>
    <mergeCell ref="A71:B71"/>
    <mergeCell ref="A42:B42"/>
    <mergeCell ref="A43:B43"/>
    <mergeCell ref="A46:B46"/>
    <mergeCell ref="A47:B47"/>
    <mergeCell ref="A48:B48"/>
    <mergeCell ref="A51:B51"/>
    <mergeCell ref="A57:B57"/>
    <mergeCell ref="A69:B69"/>
    <mergeCell ref="A58:B58"/>
    <mergeCell ref="A59:B59"/>
    <mergeCell ref="A50:Q50"/>
    <mergeCell ref="A62:Q62"/>
    <mergeCell ref="A72:B72"/>
    <mergeCell ref="A23:E23"/>
    <mergeCell ref="A28:E28"/>
    <mergeCell ref="A32:E32"/>
    <mergeCell ref="A60:B60"/>
    <mergeCell ref="A63:B63"/>
    <mergeCell ref="A64:B64"/>
    <mergeCell ref="A65:B65"/>
    <mergeCell ref="A66:B66"/>
    <mergeCell ref="A67:B67"/>
    <mergeCell ref="A52:B52"/>
    <mergeCell ref="A53:B53"/>
    <mergeCell ref="A54:B54"/>
    <mergeCell ref="A55:B55"/>
    <mergeCell ref="A27:E27"/>
    <mergeCell ref="A70:B70"/>
    <mergeCell ref="A13:F13"/>
    <mergeCell ref="A14:F14"/>
    <mergeCell ref="A15:F15"/>
    <mergeCell ref="A18:E18"/>
    <mergeCell ref="A19:E19"/>
    <mergeCell ref="A17:I17"/>
    <mergeCell ref="A3:I3"/>
    <mergeCell ref="A38:Q38"/>
    <mergeCell ref="A1:U1"/>
    <mergeCell ref="A21:E21"/>
    <mergeCell ref="A22:E22"/>
    <mergeCell ref="A24:E24"/>
    <mergeCell ref="A6:F6"/>
    <mergeCell ref="A4:F4"/>
    <mergeCell ref="A5:F5"/>
    <mergeCell ref="A20:E20"/>
    <mergeCell ref="A7:F7"/>
    <mergeCell ref="A8:F8"/>
    <mergeCell ref="A9:F9"/>
    <mergeCell ref="A10:F10"/>
    <mergeCell ref="A11:F11"/>
    <mergeCell ref="A12:F12"/>
  </mergeCells>
  <pageMargins left="0.5" right="0.5" top="0.5" bottom="0.5" header="0.3" footer="0.3"/>
  <pageSetup scale="50" orientation="landscape" r:id="rId1"/>
  <headerFooter>
    <oddHeader>&amp;R&amp;"-,Bold"&amp;14&amp;F</oddHeader>
    <oddFooter>&amp;L&amp;Z&amp;F&amp;R&amp;D &amp;T</oddFooter>
  </headerFooter>
  <rowBreaks count="1" manualBreakCount="1">
    <brk id="3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BreakEvenIncomeGrowthButton">
              <controlPr defaultSize="0" print="0" autoFill="0" autoPict="0" macro="[0]!IncomeBreakEven">
                <anchor moveWithCells="1" sizeWithCells="1">
                  <from>
                    <xdr:col>18</xdr:col>
                    <xdr:colOff>209550</xdr:colOff>
                    <xdr:row>52</xdr:row>
                    <xdr:rowOff>152400</xdr:rowOff>
                  </from>
                  <to>
                    <xdr:col>21</xdr:col>
                    <xdr:colOff>552450</xdr:colOff>
                    <xdr:row>55</xdr:row>
                    <xdr:rowOff>0</xdr:rowOff>
                  </to>
                </anchor>
              </controlPr>
            </control>
          </mc:Choice>
        </mc:AlternateContent>
        <mc:AlternateContent xmlns:mc="http://schemas.openxmlformats.org/markup-compatibility/2006">
          <mc:Choice Requires="x14">
            <control shapeId="3075" r:id="rId5" name="BreakEvenExpGrowthButton">
              <controlPr defaultSize="0" print="0" autoFill="0" autoPict="0" macro="[0]!BreakEvenExpenseGrowth">
                <anchor moveWithCells="1" sizeWithCells="1">
                  <from>
                    <xdr:col>18</xdr:col>
                    <xdr:colOff>209550</xdr:colOff>
                    <xdr:row>64</xdr:row>
                    <xdr:rowOff>171450</xdr:rowOff>
                  </from>
                  <to>
                    <xdr:col>21</xdr:col>
                    <xdr:colOff>552450</xdr:colOff>
                    <xdr:row>67</xdr:row>
                    <xdr:rowOff>19050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4539F-D065-492F-A763-EFC891B19AA8}">
  <sheetPr>
    <pageSetUpPr fitToPage="1"/>
  </sheetPr>
  <dimension ref="A1:AL45"/>
  <sheetViews>
    <sheetView showGridLines="0" zoomScale="80" zoomScaleNormal="80" zoomScaleSheetLayoutView="100" workbookViewId="0">
      <pane xSplit="8" ySplit="4" topLeftCell="I5" activePane="bottomRight" state="frozen"/>
      <selection activeCell="J32" sqref="J32"/>
      <selection pane="topRight" activeCell="J32" sqref="J32"/>
      <selection pane="bottomLeft" activeCell="J32" sqref="J32"/>
      <selection pane="bottomRight" activeCell="J32" sqref="J32"/>
    </sheetView>
  </sheetViews>
  <sheetFormatPr defaultColWidth="9.140625" defaultRowHeight="12.75" outlineLevelCol="1" x14ac:dyDescent="0.2"/>
  <cols>
    <col min="1" max="3" width="9.140625" style="1156"/>
    <col min="4" max="4" width="15.28515625" style="1156" customWidth="1"/>
    <col min="5" max="6" width="11.7109375" style="1156" customWidth="1"/>
    <col min="7" max="7" width="11" style="1156" bestFit="1" customWidth="1"/>
    <col min="8" max="8" width="10.85546875" style="1156" customWidth="1"/>
    <col min="9" max="9" width="11" style="1156" bestFit="1" customWidth="1"/>
    <col min="10" max="21" width="10.7109375" style="1156" customWidth="1"/>
    <col min="22" max="33" width="10.7109375" style="1156" customWidth="1" outlineLevel="1"/>
    <col min="34" max="34" width="2.85546875" style="1156" customWidth="1"/>
    <col min="35" max="36" width="11.42578125" style="1156" bestFit="1" customWidth="1"/>
    <col min="37" max="37" width="3.28515625" style="1156" customWidth="1"/>
    <col min="38" max="16384" width="9.140625" style="1156"/>
  </cols>
  <sheetData>
    <row r="1" spans="2:38" ht="15.75" thickBot="1" x14ac:dyDescent="0.25">
      <c r="B1" s="1372" t="s">
        <v>993</v>
      </c>
      <c r="C1" s="1373"/>
      <c r="D1" s="1373"/>
      <c r="E1" s="1373"/>
      <c r="F1" s="1373"/>
      <c r="G1" s="1373"/>
      <c r="H1" s="1373"/>
      <c r="I1" s="1373"/>
      <c r="J1" s="1373"/>
      <c r="K1" s="1373"/>
      <c r="L1" s="1373"/>
      <c r="M1" s="1373"/>
      <c r="N1" s="1373"/>
      <c r="O1" s="1373"/>
      <c r="P1" s="1373"/>
      <c r="Q1" s="1373"/>
      <c r="R1" s="1373"/>
      <c r="S1" s="1373"/>
      <c r="T1" s="1373"/>
      <c r="U1" s="1373"/>
      <c r="V1" s="1373"/>
      <c r="W1" s="1373"/>
      <c r="X1" s="1373"/>
      <c r="Y1" s="1373"/>
      <c r="Z1" s="1373"/>
      <c r="AA1" s="1373"/>
      <c r="AB1" s="1373"/>
      <c r="AC1" s="1373"/>
      <c r="AD1" s="1373"/>
      <c r="AE1" s="1373"/>
      <c r="AF1" s="1373"/>
      <c r="AG1" s="1373"/>
      <c r="AH1" s="1373"/>
      <c r="AI1" s="1373"/>
      <c r="AJ1" s="1374"/>
    </row>
    <row r="3" spans="2:38" ht="13.5" thickBot="1" x14ac:dyDescent="0.25">
      <c r="I3" s="382" t="s">
        <v>612</v>
      </c>
      <c r="J3" s="382" t="s">
        <v>613</v>
      </c>
      <c r="K3" s="382" t="s">
        <v>614</v>
      </c>
      <c r="L3" s="382" t="s">
        <v>615</v>
      </c>
      <c r="M3" s="382" t="s">
        <v>616</v>
      </c>
      <c r="N3" s="382" t="s">
        <v>617</v>
      </c>
      <c r="O3" s="382" t="s">
        <v>618</v>
      </c>
      <c r="P3" s="382" t="s">
        <v>619</v>
      </c>
      <c r="Q3" s="382" t="s">
        <v>620</v>
      </c>
      <c r="R3" s="382" t="s">
        <v>621</v>
      </c>
      <c r="S3" s="382" t="s">
        <v>622</v>
      </c>
      <c r="T3" s="382" t="s">
        <v>623</v>
      </c>
      <c r="U3" s="382" t="s">
        <v>624</v>
      </c>
      <c r="V3" s="382" t="s">
        <v>625</v>
      </c>
      <c r="W3" s="382" t="s">
        <v>626</v>
      </c>
      <c r="X3" s="382" t="s">
        <v>627</v>
      </c>
      <c r="Y3" s="382" t="s">
        <v>628</v>
      </c>
      <c r="Z3" s="382" t="s">
        <v>629</v>
      </c>
      <c r="AA3" s="382" t="s">
        <v>630</v>
      </c>
      <c r="AB3" s="382" t="s">
        <v>631</v>
      </c>
      <c r="AC3" s="382" t="s">
        <v>632</v>
      </c>
      <c r="AD3" s="382" t="s">
        <v>633</v>
      </c>
      <c r="AE3" s="382" t="s">
        <v>634</v>
      </c>
      <c r="AF3" s="382" t="s">
        <v>635</v>
      </c>
      <c r="AG3" s="382" t="s">
        <v>636</v>
      </c>
      <c r="AI3" s="1153" t="s">
        <v>637</v>
      </c>
      <c r="AJ3" s="1153" t="s">
        <v>36</v>
      </c>
      <c r="AL3" s="1157" t="s">
        <v>638</v>
      </c>
    </row>
    <row r="4" spans="2:38" ht="15.75" thickBot="1" x14ac:dyDescent="0.3">
      <c r="B4" s="1372" t="s">
        <v>994</v>
      </c>
      <c r="C4" s="1373"/>
      <c r="D4" s="1373"/>
      <c r="E4" s="1373"/>
      <c r="F4" s="1373"/>
      <c r="G4" s="1373"/>
      <c r="H4"/>
      <c r="I4"/>
      <c r="J4"/>
      <c r="K4"/>
      <c r="L4"/>
      <c r="M4"/>
      <c r="N4"/>
      <c r="O4"/>
      <c r="P4"/>
      <c r="Q4"/>
      <c r="R4"/>
      <c r="S4"/>
      <c r="T4"/>
      <c r="U4"/>
      <c r="V4"/>
      <c r="W4"/>
      <c r="X4"/>
      <c r="Y4"/>
      <c r="Z4"/>
      <c r="AA4"/>
      <c r="AB4"/>
      <c r="AC4"/>
      <c r="AD4"/>
      <c r="AE4"/>
      <c r="AF4"/>
      <c r="AG4"/>
      <c r="AH4"/>
      <c r="AI4"/>
      <c r="AJ4"/>
    </row>
    <row r="5" spans="2:38" ht="38.25" x14ac:dyDescent="0.2">
      <c r="B5" s="1578" t="s">
        <v>38</v>
      </c>
      <c r="C5" s="1579"/>
      <c r="D5" s="1580"/>
      <c r="E5" s="1158" t="s">
        <v>995</v>
      </c>
      <c r="F5" s="1158" t="s">
        <v>996</v>
      </c>
      <c r="G5" s="382" t="s">
        <v>997</v>
      </c>
      <c r="H5" s="382" t="s">
        <v>640</v>
      </c>
      <c r="I5" s="1159" t="s">
        <v>998</v>
      </c>
      <c r="J5" s="385" t="e">
        <f>DATE(YEAR(I5),MONTH(I5)+1,DAY(I5))</f>
        <v>#VALUE!</v>
      </c>
      <c r="K5" s="385" t="e">
        <f t="shared" ref="K5:AG5" si="0">DATE(YEAR(J5),MONTH(J5)+1,DAY(J5))</f>
        <v>#VALUE!</v>
      </c>
      <c r="L5" s="385" t="e">
        <f t="shared" si="0"/>
        <v>#VALUE!</v>
      </c>
      <c r="M5" s="385" t="e">
        <f t="shared" si="0"/>
        <v>#VALUE!</v>
      </c>
      <c r="N5" s="385" t="e">
        <f t="shared" si="0"/>
        <v>#VALUE!</v>
      </c>
      <c r="O5" s="385" t="e">
        <f t="shared" si="0"/>
        <v>#VALUE!</v>
      </c>
      <c r="P5" s="385" t="e">
        <f t="shared" si="0"/>
        <v>#VALUE!</v>
      </c>
      <c r="Q5" s="385" t="e">
        <f t="shared" si="0"/>
        <v>#VALUE!</v>
      </c>
      <c r="R5" s="385" t="e">
        <f t="shared" si="0"/>
        <v>#VALUE!</v>
      </c>
      <c r="S5" s="385" t="e">
        <f t="shared" si="0"/>
        <v>#VALUE!</v>
      </c>
      <c r="T5" s="385" t="e">
        <f t="shared" si="0"/>
        <v>#VALUE!</v>
      </c>
      <c r="U5" s="385" t="e">
        <f t="shared" si="0"/>
        <v>#VALUE!</v>
      </c>
      <c r="V5" s="385" t="e">
        <f t="shared" si="0"/>
        <v>#VALUE!</v>
      </c>
      <c r="W5" s="385" t="e">
        <f t="shared" si="0"/>
        <v>#VALUE!</v>
      </c>
      <c r="X5" s="385" t="e">
        <f t="shared" si="0"/>
        <v>#VALUE!</v>
      </c>
      <c r="Y5" s="385" t="e">
        <f t="shared" si="0"/>
        <v>#VALUE!</v>
      </c>
      <c r="Z5" s="385" t="e">
        <f t="shared" si="0"/>
        <v>#VALUE!</v>
      </c>
      <c r="AA5" s="385" t="e">
        <f t="shared" si="0"/>
        <v>#VALUE!</v>
      </c>
      <c r="AB5" s="385" t="e">
        <f t="shared" si="0"/>
        <v>#VALUE!</v>
      </c>
      <c r="AC5" s="385" t="e">
        <f t="shared" si="0"/>
        <v>#VALUE!</v>
      </c>
      <c r="AD5" s="385" t="e">
        <f t="shared" si="0"/>
        <v>#VALUE!</v>
      </c>
      <c r="AE5" s="385" t="e">
        <f t="shared" si="0"/>
        <v>#VALUE!</v>
      </c>
      <c r="AF5" s="385" t="e">
        <f t="shared" si="0"/>
        <v>#VALUE!</v>
      </c>
      <c r="AG5" s="385" t="e">
        <f t="shared" si="0"/>
        <v>#VALUE!</v>
      </c>
      <c r="AI5" s="382" t="s">
        <v>637</v>
      </c>
      <c r="AJ5" s="382" t="s">
        <v>36</v>
      </c>
    </row>
    <row r="6" spans="2:38" x14ac:dyDescent="0.2">
      <c r="B6" s="1564" t="s">
        <v>999</v>
      </c>
      <c r="C6" s="1565"/>
      <c r="D6" s="1566"/>
      <c r="E6" s="1160"/>
      <c r="F6" s="1160"/>
      <c r="G6" s="391">
        <f>SUM(E6:F6)</f>
        <v>0</v>
      </c>
      <c r="H6" s="390">
        <f>SUM(I6:AG6)-G6</f>
        <v>0</v>
      </c>
      <c r="I6" s="389"/>
      <c r="J6" s="389"/>
      <c r="K6" s="389"/>
      <c r="L6" s="389"/>
      <c r="M6" s="389"/>
      <c r="N6" s="389"/>
      <c r="O6" s="389"/>
      <c r="P6" s="389"/>
      <c r="Q6" s="389"/>
      <c r="R6" s="389"/>
      <c r="S6" s="389"/>
      <c r="T6" s="389"/>
      <c r="U6" s="389"/>
      <c r="V6" s="389"/>
      <c r="W6" s="389"/>
      <c r="X6" s="389"/>
      <c r="Y6" s="389"/>
      <c r="Z6" s="389"/>
      <c r="AA6" s="389"/>
      <c r="AB6" s="389"/>
      <c r="AC6" s="389"/>
      <c r="AD6" s="389"/>
      <c r="AE6" s="389"/>
      <c r="AF6" s="389"/>
      <c r="AG6" s="389"/>
      <c r="AI6" s="391">
        <f t="shared" ref="AI6" si="1">SUM(V6:AG6)</f>
        <v>0</v>
      </c>
      <c r="AJ6" s="391">
        <f>SUM(I6:U6)+AI6</f>
        <v>0</v>
      </c>
    </row>
    <row r="7" spans="2:38" x14ac:dyDescent="0.2">
      <c r="B7" s="1564" t="s">
        <v>1000</v>
      </c>
      <c r="C7" s="1565"/>
      <c r="D7" s="1566"/>
      <c r="E7" s="1160"/>
      <c r="F7" s="1160"/>
      <c r="G7" s="391">
        <f t="shared" ref="G7:G19" si="2">SUM(E7:F7)</f>
        <v>0</v>
      </c>
      <c r="H7" s="390">
        <f t="shared" ref="H7:H19" si="3">SUM(I7:AG7)-G7</f>
        <v>0</v>
      </c>
      <c r="I7" s="389"/>
      <c r="J7" s="389"/>
      <c r="K7" s="389"/>
      <c r="L7" s="389"/>
      <c r="M7" s="389"/>
      <c r="N7" s="389"/>
      <c r="O7" s="389"/>
      <c r="P7" s="389"/>
      <c r="Q7" s="389"/>
      <c r="R7" s="389"/>
      <c r="S7" s="389"/>
      <c r="T7" s="389"/>
      <c r="U7" s="389"/>
      <c r="V7" s="389"/>
      <c r="W7" s="389"/>
      <c r="X7" s="389"/>
      <c r="Y7" s="389"/>
      <c r="Z7" s="389"/>
      <c r="AA7" s="389"/>
      <c r="AB7" s="389"/>
      <c r="AC7" s="389"/>
      <c r="AD7" s="389"/>
      <c r="AE7" s="389"/>
      <c r="AF7" s="389"/>
      <c r="AG7" s="389"/>
      <c r="AI7" s="391">
        <f t="shared" ref="AI7:AI19" si="4">SUM(V7:AG7)</f>
        <v>0</v>
      </c>
      <c r="AJ7" s="391">
        <f t="shared" ref="AJ7:AJ20" si="5">SUM(I7:U7)+AI7</f>
        <v>0</v>
      </c>
    </row>
    <row r="8" spans="2:38" x14ac:dyDescent="0.2">
      <c r="B8" s="1564" t="s">
        <v>575</v>
      </c>
      <c r="C8" s="1565"/>
      <c r="D8" s="1566"/>
      <c r="E8" s="1160"/>
      <c r="F8" s="1160"/>
      <c r="G8" s="391">
        <f t="shared" si="2"/>
        <v>0</v>
      </c>
      <c r="H8" s="390">
        <f t="shared" si="3"/>
        <v>0</v>
      </c>
      <c r="I8" s="389"/>
      <c r="J8" s="389"/>
      <c r="K8" s="389"/>
      <c r="L8" s="389"/>
      <c r="M8" s="389"/>
      <c r="N8" s="389"/>
      <c r="O8" s="389"/>
      <c r="P8" s="389"/>
      <c r="Q8" s="389"/>
      <c r="R8" s="389"/>
      <c r="S8" s="389"/>
      <c r="T8" s="389"/>
      <c r="U8" s="389"/>
      <c r="V8" s="389"/>
      <c r="W8" s="389"/>
      <c r="X8" s="389"/>
      <c r="Y8" s="389"/>
      <c r="Z8" s="389"/>
      <c r="AA8" s="389"/>
      <c r="AB8" s="389"/>
      <c r="AC8" s="389"/>
      <c r="AD8" s="389"/>
      <c r="AE8" s="389"/>
      <c r="AF8" s="389"/>
      <c r="AG8" s="389"/>
      <c r="AI8" s="391">
        <f t="shared" si="4"/>
        <v>0</v>
      </c>
      <c r="AJ8" s="391">
        <f t="shared" si="5"/>
        <v>0</v>
      </c>
    </row>
    <row r="9" spans="2:38" x14ac:dyDescent="0.2">
      <c r="B9" s="1564" t="s">
        <v>1001</v>
      </c>
      <c r="C9" s="1565"/>
      <c r="D9" s="1566"/>
      <c r="E9" s="1160"/>
      <c r="F9" s="1160"/>
      <c r="G9" s="391">
        <f t="shared" si="2"/>
        <v>0</v>
      </c>
      <c r="H9" s="390">
        <f t="shared" si="3"/>
        <v>0</v>
      </c>
      <c r="I9" s="389"/>
      <c r="J9" s="389"/>
      <c r="K9" s="389"/>
      <c r="L9" s="389"/>
      <c r="M9" s="389"/>
      <c r="N9" s="389"/>
      <c r="O9" s="389"/>
      <c r="P9" s="389"/>
      <c r="Q9" s="389"/>
      <c r="R9" s="389"/>
      <c r="S9" s="389"/>
      <c r="T9" s="389"/>
      <c r="U9" s="389"/>
      <c r="V9" s="389"/>
      <c r="W9" s="389"/>
      <c r="X9" s="389"/>
      <c r="Y9" s="389"/>
      <c r="Z9" s="389"/>
      <c r="AA9" s="389"/>
      <c r="AB9" s="389"/>
      <c r="AC9" s="389"/>
      <c r="AD9" s="389"/>
      <c r="AE9" s="389"/>
      <c r="AF9" s="389"/>
      <c r="AG9" s="389"/>
      <c r="AI9" s="391">
        <f t="shared" si="4"/>
        <v>0</v>
      </c>
      <c r="AJ9" s="391">
        <f t="shared" si="5"/>
        <v>0</v>
      </c>
    </row>
    <row r="10" spans="2:38" x14ac:dyDescent="0.2">
      <c r="B10" s="1564" t="s">
        <v>1002</v>
      </c>
      <c r="C10" s="1565"/>
      <c r="D10" s="1566"/>
      <c r="E10" s="1160"/>
      <c r="F10" s="1160"/>
      <c r="G10" s="391">
        <f t="shared" si="2"/>
        <v>0</v>
      </c>
      <c r="H10" s="390">
        <f t="shared" si="3"/>
        <v>0</v>
      </c>
      <c r="I10" s="389"/>
      <c r="J10" s="389"/>
      <c r="K10" s="389"/>
      <c r="L10" s="389"/>
      <c r="M10" s="389"/>
      <c r="N10" s="389"/>
      <c r="O10" s="389"/>
      <c r="P10" s="389"/>
      <c r="Q10" s="389"/>
      <c r="R10" s="389"/>
      <c r="S10" s="389"/>
      <c r="T10" s="389"/>
      <c r="U10" s="389"/>
      <c r="V10" s="389"/>
      <c r="W10" s="389"/>
      <c r="X10" s="389"/>
      <c r="Y10" s="389"/>
      <c r="Z10" s="389"/>
      <c r="AA10" s="389"/>
      <c r="AB10" s="389"/>
      <c r="AC10" s="389"/>
      <c r="AD10" s="389"/>
      <c r="AE10" s="389"/>
      <c r="AF10" s="389"/>
      <c r="AG10" s="389"/>
      <c r="AI10" s="391">
        <f t="shared" si="4"/>
        <v>0</v>
      </c>
      <c r="AJ10" s="391">
        <f t="shared" si="5"/>
        <v>0</v>
      </c>
    </row>
    <row r="11" spans="2:38" x14ac:dyDescent="0.2">
      <c r="B11" s="1564" t="s">
        <v>1003</v>
      </c>
      <c r="C11" s="1565"/>
      <c r="D11" s="1566"/>
      <c r="E11" s="1160"/>
      <c r="F11" s="1160"/>
      <c r="G11" s="391">
        <f t="shared" si="2"/>
        <v>0</v>
      </c>
      <c r="H11" s="390">
        <f t="shared" si="3"/>
        <v>0</v>
      </c>
      <c r="I11" s="389"/>
      <c r="J11" s="389"/>
      <c r="K11" s="389"/>
      <c r="L11" s="389"/>
      <c r="M11" s="389"/>
      <c r="N11" s="389"/>
      <c r="O11" s="389"/>
      <c r="P11" s="389"/>
      <c r="Q11" s="389"/>
      <c r="R11" s="389"/>
      <c r="S11" s="389"/>
      <c r="T11" s="389"/>
      <c r="U11" s="389"/>
      <c r="V11" s="389"/>
      <c r="W11" s="389"/>
      <c r="X11" s="389"/>
      <c r="Y11" s="389"/>
      <c r="Z11" s="389"/>
      <c r="AA11" s="389"/>
      <c r="AB11" s="389"/>
      <c r="AC11" s="389"/>
      <c r="AD11" s="389"/>
      <c r="AE11" s="389"/>
      <c r="AF11" s="389"/>
      <c r="AG11" s="389"/>
      <c r="AI11" s="391">
        <f t="shared" si="4"/>
        <v>0</v>
      </c>
      <c r="AJ11" s="391">
        <f t="shared" si="5"/>
        <v>0</v>
      </c>
    </row>
    <row r="12" spans="2:38" x14ac:dyDescent="0.2">
      <c r="B12" s="1564" t="s">
        <v>1004</v>
      </c>
      <c r="C12" s="1565"/>
      <c r="D12" s="1566"/>
      <c r="E12" s="1160"/>
      <c r="F12" s="1160"/>
      <c r="G12" s="391">
        <f t="shared" si="2"/>
        <v>0</v>
      </c>
      <c r="H12" s="390">
        <f t="shared" si="3"/>
        <v>0</v>
      </c>
      <c r="I12" s="389"/>
      <c r="J12" s="389"/>
      <c r="K12" s="389"/>
      <c r="L12" s="389"/>
      <c r="M12" s="389"/>
      <c r="N12" s="389"/>
      <c r="O12" s="389"/>
      <c r="P12" s="389"/>
      <c r="Q12" s="389"/>
      <c r="R12" s="389"/>
      <c r="S12" s="389"/>
      <c r="T12" s="389"/>
      <c r="U12" s="389"/>
      <c r="V12" s="389"/>
      <c r="W12" s="389"/>
      <c r="X12" s="389"/>
      <c r="Y12" s="389"/>
      <c r="Z12" s="389"/>
      <c r="AA12" s="389"/>
      <c r="AB12" s="389"/>
      <c r="AC12" s="389"/>
      <c r="AD12" s="389"/>
      <c r="AE12" s="389"/>
      <c r="AF12" s="389"/>
      <c r="AG12" s="389"/>
      <c r="AI12" s="391">
        <f t="shared" si="4"/>
        <v>0</v>
      </c>
      <c r="AJ12" s="391">
        <f t="shared" si="5"/>
        <v>0</v>
      </c>
    </row>
    <row r="13" spans="2:38" x14ac:dyDescent="0.2">
      <c r="B13" s="1564" t="s">
        <v>1005</v>
      </c>
      <c r="C13" s="1565"/>
      <c r="D13" s="1566"/>
      <c r="E13" s="1160"/>
      <c r="F13" s="1160"/>
      <c r="G13" s="391">
        <f t="shared" si="2"/>
        <v>0</v>
      </c>
      <c r="H13" s="390">
        <f t="shared" si="3"/>
        <v>0</v>
      </c>
      <c r="I13" s="389"/>
      <c r="J13" s="389"/>
      <c r="K13" s="389"/>
      <c r="L13" s="389"/>
      <c r="M13" s="389"/>
      <c r="N13" s="389"/>
      <c r="O13" s="389"/>
      <c r="P13" s="389"/>
      <c r="Q13" s="389"/>
      <c r="R13" s="389"/>
      <c r="S13" s="389"/>
      <c r="T13" s="389"/>
      <c r="U13" s="389"/>
      <c r="V13" s="389"/>
      <c r="W13" s="389"/>
      <c r="X13" s="389"/>
      <c r="Y13" s="389"/>
      <c r="Z13" s="389"/>
      <c r="AA13" s="389"/>
      <c r="AB13" s="389"/>
      <c r="AC13" s="389"/>
      <c r="AD13" s="389"/>
      <c r="AE13" s="389"/>
      <c r="AF13" s="389"/>
      <c r="AG13" s="389"/>
      <c r="AI13" s="391">
        <f t="shared" si="4"/>
        <v>0</v>
      </c>
      <c r="AJ13" s="391">
        <f t="shared" si="5"/>
        <v>0</v>
      </c>
    </row>
    <row r="14" spans="2:38" x14ac:dyDescent="0.2">
      <c r="B14" s="1564" t="s">
        <v>1006</v>
      </c>
      <c r="C14" s="1565"/>
      <c r="D14" s="1566"/>
      <c r="E14" s="1160"/>
      <c r="F14" s="1160"/>
      <c r="G14" s="391">
        <f t="shared" si="2"/>
        <v>0</v>
      </c>
      <c r="H14" s="390">
        <f t="shared" si="3"/>
        <v>0</v>
      </c>
      <c r="I14" s="389"/>
      <c r="J14" s="389"/>
      <c r="K14" s="389"/>
      <c r="L14" s="389"/>
      <c r="M14" s="389"/>
      <c r="N14" s="389"/>
      <c r="O14" s="389"/>
      <c r="P14" s="389"/>
      <c r="Q14" s="389"/>
      <c r="R14" s="389"/>
      <c r="S14" s="389"/>
      <c r="T14" s="389"/>
      <c r="U14" s="389"/>
      <c r="V14" s="389"/>
      <c r="W14" s="389"/>
      <c r="X14" s="389"/>
      <c r="Y14" s="389"/>
      <c r="Z14" s="389"/>
      <c r="AA14" s="389"/>
      <c r="AB14" s="389"/>
      <c r="AC14" s="389"/>
      <c r="AD14" s="389"/>
      <c r="AE14" s="389"/>
      <c r="AF14" s="389"/>
      <c r="AG14" s="389"/>
      <c r="AI14" s="391">
        <f t="shared" si="4"/>
        <v>0</v>
      </c>
      <c r="AJ14" s="391">
        <f t="shared" si="5"/>
        <v>0</v>
      </c>
    </row>
    <row r="15" spans="2:38" x14ac:dyDescent="0.2">
      <c r="B15" s="1622" t="s">
        <v>1007</v>
      </c>
      <c r="C15" s="1623"/>
      <c r="D15" s="1624"/>
      <c r="E15" s="1160"/>
      <c r="F15" s="1160"/>
      <c r="G15" s="391">
        <f t="shared" si="2"/>
        <v>0</v>
      </c>
      <c r="H15" s="390">
        <f t="shared" si="3"/>
        <v>0</v>
      </c>
      <c r="I15" s="389"/>
      <c r="J15" s="389"/>
      <c r="K15" s="389"/>
      <c r="L15" s="389"/>
      <c r="M15" s="389"/>
      <c r="N15" s="389"/>
      <c r="O15" s="389"/>
      <c r="P15" s="389"/>
      <c r="Q15" s="389"/>
      <c r="R15" s="389"/>
      <c r="S15" s="389"/>
      <c r="T15" s="389"/>
      <c r="U15" s="389"/>
      <c r="V15" s="389"/>
      <c r="W15" s="389"/>
      <c r="X15" s="389"/>
      <c r="Y15" s="389"/>
      <c r="Z15" s="389"/>
      <c r="AA15" s="389"/>
      <c r="AB15" s="389"/>
      <c r="AC15" s="389"/>
      <c r="AD15" s="389"/>
      <c r="AE15" s="389"/>
      <c r="AF15" s="389"/>
      <c r="AG15" s="389"/>
      <c r="AI15" s="391">
        <f t="shared" si="4"/>
        <v>0</v>
      </c>
      <c r="AJ15" s="391">
        <f t="shared" si="5"/>
        <v>0</v>
      </c>
    </row>
    <row r="16" spans="2:38" x14ac:dyDescent="0.2">
      <c r="B16" s="1622"/>
      <c r="C16" s="1623"/>
      <c r="D16" s="1624"/>
      <c r="E16" s="1160"/>
      <c r="F16" s="1160"/>
      <c r="G16" s="391">
        <f t="shared" si="2"/>
        <v>0</v>
      </c>
      <c r="H16" s="390">
        <f t="shared" si="3"/>
        <v>0</v>
      </c>
      <c r="I16" s="389"/>
      <c r="J16" s="389"/>
      <c r="K16" s="389"/>
      <c r="L16" s="389"/>
      <c r="M16" s="389"/>
      <c r="N16" s="389"/>
      <c r="O16" s="389"/>
      <c r="P16" s="389"/>
      <c r="Q16" s="389"/>
      <c r="R16" s="389"/>
      <c r="S16" s="389"/>
      <c r="T16" s="389"/>
      <c r="U16" s="389"/>
      <c r="V16" s="389"/>
      <c r="W16" s="389"/>
      <c r="X16" s="389"/>
      <c r="Y16" s="389"/>
      <c r="Z16" s="389"/>
      <c r="AA16" s="389"/>
      <c r="AB16" s="389"/>
      <c r="AC16" s="389"/>
      <c r="AD16" s="389"/>
      <c r="AE16" s="389"/>
      <c r="AF16" s="389"/>
      <c r="AG16" s="389"/>
      <c r="AI16" s="391">
        <f t="shared" si="4"/>
        <v>0</v>
      </c>
      <c r="AJ16" s="391">
        <f t="shared" si="5"/>
        <v>0</v>
      </c>
    </row>
    <row r="17" spans="1:38" x14ac:dyDescent="0.2">
      <c r="B17" s="1622"/>
      <c r="C17" s="1623"/>
      <c r="D17" s="1624"/>
      <c r="E17" s="1160"/>
      <c r="F17" s="1160"/>
      <c r="G17" s="391">
        <f t="shared" si="2"/>
        <v>0</v>
      </c>
      <c r="H17" s="390">
        <f t="shared" si="3"/>
        <v>0</v>
      </c>
      <c r="I17" s="389"/>
      <c r="J17" s="389"/>
      <c r="K17" s="389"/>
      <c r="L17" s="389"/>
      <c r="M17" s="389"/>
      <c r="N17" s="389"/>
      <c r="O17" s="389"/>
      <c r="P17" s="389"/>
      <c r="Q17" s="389"/>
      <c r="R17" s="389"/>
      <c r="S17" s="389"/>
      <c r="T17" s="389"/>
      <c r="U17" s="389"/>
      <c r="V17" s="389"/>
      <c r="W17" s="389"/>
      <c r="X17" s="389"/>
      <c r="Y17" s="389"/>
      <c r="Z17" s="389"/>
      <c r="AA17" s="389"/>
      <c r="AB17" s="389"/>
      <c r="AC17" s="389"/>
      <c r="AD17" s="389"/>
      <c r="AE17" s="389"/>
      <c r="AF17" s="389"/>
      <c r="AG17" s="389"/>
      <c r="AI17" s="391">
        <f t="shared" si="4"/>
        <v>0</v>
      </c>
      <c r="AJ17" s="391">
        <f t="shared" si="5"/>
        <v>0</v>
      </c>
    </row>
    <row r="18" spans="1:38" x14ac:dyDescent="0.2">
      <c r="B18" s="1622"/>
      <c r="C18" s="1623"/>
      <c r="D18" s="1624"/>
      <c r="E18" s="1160"/>
      <c r="F18" s="1160"/>
      <c r="G18" s="391">
        <f t="shared" si="2"/>
        <v>0</v>
      </c>
      <c r="H18" s="390">
        <f t="shared" si="3"/>
        <v>0</v>
      </c>
      <c r="I18" s="389"/>
      <c r="J18" s="389"/>
      <c r="K18" s="389"/>
      <c r="L18" s="389"/>
      <c r="M18" s="389"/>
      <c r="N18" s="389"/>
      <c r="O18" s="389"/>
      <c r="P18" s="389"/>
      <c r="Q18" s="389"/>
      <c r="R18" s="389"/>
      <c r="S18" s="389"/>
      <c r="T18" s="389"/>
      <c r="U18" s="389"/>
      <c r="V18" s="389"/>
      <c r="W18" s="389"/>
      <c r="X18" s="389"/>
      <c r="Y18" s="389"/>
      <c r="Z18" s="389"/>
      <c r="AA18" s="389"/>
      <c r="AB18" s="389"/>
      <c r="AC18" s="389"/>
      <c r="AD18" s="389"/>
      <c r="AE18" s="389"/>
      <c r="AF18" s="389"/>
      <c r="AG18" s="389"/>
      <c r="AI18" s="391">
        <f t="shared" si="4"/>
        <v>0</v>
      </c>
      <c r="AJ18" s="391">
        <f t="shared" si="5"/>
        <v>0</v>
      </c>
    </row>
    <row r="19" spans="1:38" x14ac:dyDescent="0.2">
      <c r="B19" s="1622"/>
      <c r="C19" s="1623"/>
      <c r="D19" s="1624"/>
      <c r="E19" s="1160"/>
      <c r="F19" s="1160"/>
      <c r="G19" s="391">
        <f t="shared" si="2"/>
        <v>0</v>
      </c>
      <c r="H19" s="390">
        <f t="shared" si="3"/>
        <v>0</v>
      </c>
      <c r="I19" s="389"/>
      <c r="J19" s="389"/>
      <c r="K19" s="389"/>
      <c r="L19" s="389"/>
      <c r="M19" s="389"/>
      <c r="N19" s="389"/>
      <c r="O19" s="389"/>
      <c r="P19" s="389"/>
      <c r="Q19" s="389"/>
      <c r="R19" s="389"/>
      <c r="S19" s="389"/>
      <c r="T19" s="389"/>
      <c r="U19" s="389"/>
      <c r="V19" s="389"/>
      <c r="W19" s="389"/>
      <c r="X19" s="389"/>
      <c r="Y19" s="389"/>
      <c r="Z19" s="389"/>
      <c r="AA19" s="389"/>
      <c r="AB19" s="389"/>
      <c r="AC19" s="389"/>
      <c r="AD19" s="389"/>
      <c r="AE19" s="389"/>
      <c r="AF19" s="389"/>
      <c r="AG19" s="389"/>
      <c r="AI19" s="391">
        <f t="shared" si="4"/>
        <v>0</v>
      </c>
      <c r="AJ19" s="391">
        <f t="shared" si="5"/>
        <v>0</v>
      </c>
    </row>
    <row r="20" spans="1:38" x14ac:dyDescent="0.2">
      <c r="B20" s="1571" t="s">
        <v>643</v>
      </c>
      <c r="C20" s="1572"/>
      <c r="D20" s="1573"/>
      <c r="E20" s="392">
        <f t="shared" ref="E20:AG20" si="6">SUM(E6:E19)</f>
        <v>0</v>
      </c>
      <c r="F20" s="392">
        <f t="shared" si="6"/>
        <v>0</v>
      </c>
      <c r="G20" s="392">
        <f t="shared" si="6"/>
        <v>0</v>
      </c>
      <c r="H20" s="393">
        <f t="shared" si="6"/>
        <v>0</v>
      </c>
      <c r="I20" s="392">
        <f t="shared" si="6"/>
        <v>0</v>
      </c>
      <c r="J20" s="392">
        <f t="shared" si="6"/>
        <v>0</v>
      </c>
      <c r="K20" s="392">
        <f t="shared" si="6"/>
        <v>0</v>
      </c>
      <c r="L20" s="392">
        <f t="shared" si="6"/>
        <v>0</v>
      </c>
      <c r="M20" s="392">
        <f t="shared" si="6"/>
        <v>0</v>
      </c>
      <c r="N20" s="392">
        <f t="shared" si="6"/>
        <v>0</v>
      </c>
      <c r="O20" s="392">
        <f t="shared" si="6"/>
        <v>0</v>
      </c>
      <c r="P20" s="392">
        <f t="shared" si="6"/>
        <v>0</v>
      </c>
      <c r="Q20" s="392">
        <f t="shared" si="6"/>
        <v>0</v>
      </c>
      <c r="R20" s="392">
        <f t="shared" si="6"/>
        <v>0</v>
      </c>
      <c r="S20" s="392">
        <f t="shared" si="6"/>
        <v>0</v>
      </c>
      <c r="T20" s="392">
        <f t="shared" si="6"/>
        <v>0</v>
      </c>
      <c r="U20" s="392">
        <f t="shared" si="6"/>
        <v>0</v>
      </c>
      <c r="V20" s="392">
        <f t="shared" si="6"/>
        <v>0</v>
      </c>
      <c r="W20" s="392">
        <f t="shared" si="6"/>
        <v>0</v>
      </c>
      <c r="X20" s="392">
        <f t="shared" si="6"/>
        <v>0</v>
      </c>
      <c r="Y20" s="392">
        <f t="shared" si="6"/>
        <v>0</v>
      </c>
      <c r="Z20" s="392">
        <f t="shared" si="6"/>
        <v>0</v>
      </c>
      <c r="AA20" s="392">
        <f t="shared" si="6"/>
        <v>0</v>
      </c>
      <c r="AB20" s="392">
        <f t="shared" si="6"/>
        <v>0</v>
      </c>
      <c r="AC20" s="392">
        <f t="shared" si="6"/>
        <v>0</v>
      </c>
      <c r="AD20" s="392">
        <f t="shared" si="6"/>
        <v>0</v>
      </c>
      <c r="AE20" s="392">
        <f t="shared" si="6"/>
        <v>0</v>
      </c>
      <c r="AF20" s="392">
        <f t="shared" si="6"/>
        <v>0</v>
      </c>
      <c r="AG20" s="392">
        <f t="shared" si="6"/>
        <v>0</v>
      </c>
      <c r="AI20" s="392">
        <f>SUM(AI6:AI19)</f>
        <v>0</v>
      </c>
      <c r="AJ20" s="394">
        <f t="shared" si="5"/>
        <v>0</v>
      </c>
    </row>
    <row r="21" spans="1:38" ht="13.5" thickBot="1" x14ac:dyDescent="0.25">
      <c r="H21" s="1161"/>
    </row>
    <row r="22" spans="1:38" ht="15.75" thickBot="1" x14ac:dyDescent="0.25">
      <c r="B22" s="1372" t="s">
        <v>1008</v>
      </c>
      <c r="C22" s="1373"/>
      <c r="D22" s="1373"/>
      <c r="E22" s="1373"/>
      <c r="F22" s="1373"/>
      <c r="G22" s="1373"/>
      <c r="H22" s="1162"/>
      <c r="AJ22" s="1162"/>
    </row>
    <row r="23" spans="1:38" ht="38.25" x14ac:dyDescent="0.2">
      <c r="B23" s="1578" t="s">
        <v>1009</v>
      </c>
      <c r="C23" s="1579"/>
      <c r="D23" s="1580"/>
      <c r="E23" s="1152" t="str">
        <f>E5</f>
        <v>[Project 1 Name]</v>
      </c>
      <c r="F23" s="1152" t="str">
        <f>F5</f>
        <v>[Project 2 Name]</v>
      </c>
      <c r="G23" s="382" t="s">
        <v>997</v>
      </c>
      <c r="H23" s="382" t="s">
        <v>640</v>
      </c>
      <c r="I23" s="382" t="s">
        <v>612</v>
      </c>
      <c r="J23" s="382" t="s">
        <v>613</v>
      </c>
      <c r="K23" s="382" t="s">
        <v>614</v>
      </c>
      <c r="L23" s="382" t="s">
        <v>615</v>
      </c>
      <c r="M23" s="382" t="s">
        <v>616</v>
      </c>
      <c r="N23" s="382" t="s">
        <v>617</v>
      </c>
      <c r="O23" s="382" t="s">
        <v>618</v>
      </c>
      <c r="P23" s="382" t="s">
        <v>619</v>
      </c>
      <c r="Q23" s="382" t="s">
        <v>620</v>
      </c>
      <c r="R23" s="382" t="s">
        <v>621</v>
      </c>
      <c r="S23" s="382" t="s">
        <v>622</v>
      </c>
      <c r="T23" s="382" t="s">
        <v>623</v>
      </c>
      <c r="U23" s="382" t="s">
        <v>624</v>
      </c>
      <c r="V23" s="382" t="s">
        <v>625</v>
      </c>
      <c r="W23" s="382" t="s">
        <v>626</v>
      </c>
      <c r="X23" s="382" t="s">
        <v>627</v>
      </c>
      <c r="Y23" s="382" t="s">
        <v>628</v>
      </c>
      <c r="Z23" s="382" t="s">
        <v>629</v>
      </c>
      <c r="AA23" s="382" t="s">
        <v>630</v>
      </c>
      <c r="AB23" s="382" t="s">
        <v>631</v>
      </c>
      <c r="AC23" s="382" t="s">
        <v>632</v>
      </c>
      <c r="AD23" s="382" t="s">
        <v>633</v>
      </c>
      <c r="AE23" s="382" t="s">
        <v>634</v>
      </c>
      <c r="AF23" s="382" t="s">
        <v>635</v>
      </c>
      <c r="AG23" s="382" t="s">
        <v>636</v>
      </c>
      <c r="AI23" s="382" t="s">
        <v>637</v>
      </c>
      <c r="AJ23" s="382" t="s">
        <v>36</v>
      </c>
    </row>
    <row r="24" spans="1:38" x14ac:dyDescent="0.2">
      <c r="B24" s="1622" t="s">
        <v>1010</v>
      </c>
      <c r="C24" s="1623"/>
      <c r="D24" s="1624"/>
      <c r="E24" s="1160"/>
      <c r="F24" s="1160"/>
      <c r="G24" s="390">
        <f>SUM(E24:F24)</f>
        <v>0</v>
      </c>
      <c r="H24" s="390">
        <f t="shared" ref="H24:H28" si="7">SUM(I24:AG24)-G24</f>
        <v>0</v>
      </c>
      <c r="I24" s="389"/>
      <c r="J24" s="389"/>
      <c r="K24" s="389"/>
      <c r="L24" s="389"/>
      <c r="M24" s="389"/>
      <c r="N24" s="389"/>
      <c r="O24" s="389"/>
      <c r="P24" s="389"/>
      <c r="Q24" s="389"/>
      <c r="R24" s="389"/>
      <c r="S24" s="389"/>
      <c r="T24" s="389"/>
      <c r="U24" s="389"/>
      <c r="V24" s="389"/>
      <c r="W24" s="389"/>
      <c r="X24" s="389"/>
      <c r="Y24" s="389"/>
      <c r="Z24" s="389"/>
      <c r="AA24" s="389"/>
      <c r="AB24" s="389"/>
      <c r="AC24" s="389"/>
      <c r="AD24" s="389"/>
      <c r="AE24" s="389"/>
      <c r="AF24" s="389"/>
      <c r="AG24" s="389"/>
      <c r="AI24" s="391">
        <f t="shared" ref="AI24:AI28" si="8">SUM(V24:AG24)</f>
        <v>0</v>
      </c>
      <c r="AJ24" s="391">
        <f t="shared" ref="AJ24:AJ29" si="9">SUM(I24:U24)+AI24</f>
        <v>0</v>
      </c>
    </row>
    <row r="25" spans="1:38" x14ac:dyDescent="0.2">
      <c r="B25" s="1622" t="s">
        <v>1007</v>
      </c>
      <c r="C25" s="1623"/>
      <c r="D25" s="1624"/>
      <c r="E25" s="1160"/>
      <c r="F25" s="1160"/>
      <c r="G25" s="390">
        <f t="shared" ref="G25:G28" si="10">SUM(E25:F25)</f>
        <v>0</v>
      </c>
      <c r="H25" s="390">
        <f t="shared" si="7"/>
        <v>0</v>
      </c>
      <c r="I25" s="389"/>
      <c r="J25" s="389"/>
      <c r="K25" s="389"/>
      <c r="L25" s="389"/>
      <c r="M25" s="389"/>
      <c r="N25" s="389"/>
      <c r="O25" s="389"/>
      <c r="P25" s="389"/>
      <c r="Q25" s="389"/>
      <c r="R25" s="389"/>
      <c r="S25" s="389"/>
      <c r="T25" s="389"/>
      <c r="U25" s="389"/>
      <c r="V25" s="389"/>
      <c r="W25" s="389"/>
      <c r="X25" s="389"/>
      <c r="Y25" s="389"/>
      <c r="Z25" s="389"/>
      <c r="AA25" s="389"/>
      <c r="AB25" s="389"/>
      <c r="AC25" s="389"/>
      <c r="AD25" s="389"/>
      <c r="AE25" s="389"/>
      <c r="AF25" s="389"/>
      <c r="AG25" s="389"/>
      <c r="AI25" s="391">
        <f t="shared" si="8"/>
        <v>0</v>
      </c>
      <c r="AJ25" s="391">
        <f t="shared" si="9"/>
        <v>0</v>
      </c>
    </row>
    <row r="26" spans="1:38" x14ac:dyDescent="0.2">
      <c r="B26" s="1622"/>
      <c r="C26" s="1623"/>
      <c r="D26" s="1624"/>
      <c r="E26" s="1160"/>
      <c r="F26" s="1160"/>
      <c r="G26" s="390">
        <f t="shared" si="10"/>
        <v>0</v>
      </c>
      <c r="H26" s="390">
        <f t="shared" si="7"/>
        <v>0</v>
      </c>
      <c r="I26" s="389"/>
      <c r="J26" s="389"/>
      <c r="K26" s="389"/>
      <c r="L26" s="389"/>
      <c r="M26" s="389"/>
      <c r="N26" s="389"/>
      <c r="O26" s="389"/>
      <c r="P26" s="389"/>
      <c r="Q26" s="389"/>
      <c r="R26" s="389"/>
      <c r="S26" s="389"/>
      <c r="T26" s="389"/>
      <c r="U26" s="389"/>
      <c r="V26" s="389"/>
      <c r="W26" s="389"/>
      <c r="X26" s="389"/>
      <c r="Y26" s="389"/>
      <c r="Z26" s="389"/>
      <c r="AA26" s="389"/>
      <c r="AB26" s="389"/>
      <c r="AC26" s="389"/>
      <c r="AD26" s="389"/>
      <c r="AE26" s="389"/>
      <c r="AF26" s="389"/>
      <c r="AG26" s="389"/>
      <c r="AI26" s="391">
        <f t="shared" si="8"/>
        <v>0</v>
      </c>
      <c r="AJ26" s="391">
        <f t="shared" si="9"/>
        <v>0</v>
      </c>
    </row>
    <row r="27" spans="1:38" x14ac:dyDescent="0.2">
      <c r="B27" s="1622"/>
      <c r="C27" s="1623"/>
      <c r="D27" s="1624"/>
      <c r="E27" s="1160"/>
      <c r="F27" s="1160"/>
      <c r="G27" s="390">
        <f t="shared" si="10"/>
        <v>0</v>
      </c>
      <c r="H27" s="390">
        <f t="shared" si="7"/>
        <v>0</v>
      </c>
      <c r="I27" s="389"/>
      <c r="J27" s="389"/>
      <c r="K27" s="389"/>
      <c r="L27" s="389"/>
      <c r="M27" s="389"/>
      <c r="N27" s="389"/>
      <c r="O27" s="389"/>
      <c r="P27" s="389"/>
      <c r="Q27" s="389"/>
      <c r="R27" s="389"/>
      <c r="S27" s="389"/>
      <c r="T27" s="389"/>
      <c r="U27" s="389"/>
      <c r="V27" s="389"/>
      <c r="W27" s="389"/>
      <c r="X27" s="389"/>
      <c r="Y27" s="389"/>
      <c r="Z27" s="389"/>
      <c r="AA27" s="389"/>
      <c r="AB27" s="389"/>
      <c r="AC27" s="389"/>
      <c r="AD27" s="389"/>
      <c r="AE27" s="389"/>
      <c r="AF27" s="389"/>
      <c r="AG27" s="389"/>
      <c r="AI27" s="391">
        <f t="shared" si="8"/>
        <v>0</v>
      </c>
      <c r="AJ27" s="391">
        <f t="shared" si="9"/>
        <v>0</v>
      </c>
    </row>
    <row r="28" spans="1:38" x14ac:dyDescent="0.2">
      <c r="B28" s="1622"/>
      <c r="C28" s="1623"/>
      <c r="D28" s="1624"/>
      <c r="E28" s="1160"/>
      <c r="F28" s="1160"/>
      <c r="G28" s="390">
        <f t="shared" si="10"/>
        <v>0</v>
      </c>
      <c r="H28" s="390">
        <f t="shared" si="7"/>
        <v>0</v>
      </c>
      <c r="I28" s="389"/>
      <c r="J28" s="389"/>
      <c r="K28" s="389"/>
      <c r="L28" s="389"/>
      <c r="M28" s="389"/>
      <c r="N28" s="389"/>
      <c r="O28" s="389"/>
      <c r="P28" s="389"/>
      <c r="Q28" s="389"/>
      <c r="R28" s="389"/>
      <c r="S28" s="389"/>
      <c r="T28" s="389"/>
      <c r="U28" s="389"/>
      <c r="V28" s="389"/>
      <c r="W28" s="389"/>
      <c r="X28" s="389"/>
      <c r="Y28" s="389"/>
      <c r="Z28" s="389"/>
      <c r="AA28" s="389"/>
      <c r="AB28" s="389"/>
      <c r="AC28" s="389"/>
      <c r="AD28" s="389"/>
      <c r="AE28" s="389"/>
      <c r="AF28" s="389"/>
      <c r="AG28" s="389"/>
      <c r="AI28" s="391">
        <f t="shared" si="8"/>
        <v>0</v>
      </c>
      <c r="AJ28" s="391">
        <f t="shared" si="9"/>
        <v>0</v>
      </c>
    </row>
    <row r="29" spans="1:38" x14ac:dyDescent="0.2">
      <c r="B29" s="1571" t="s">
        <v>645</v>
      </c>
      <c r="C29" s="1572"/>
      <c r="D29" s="1573"/>
      <c r="E29" s="392">
        <f t="shared" ref="E29:AG29" si="11">SUM(E24:E28)</f>
        <v>0</v>
      </c>
      <c r="F29" s="392">
        <f t="shared" si="11"/>
        <v>0</v>
      </c>
      <c r="G29" s="392">
        <f t="shared" si="11"/>
        <v>0</v>
      </c>
      <c r="H29" s="393">
        <f t="shared" si="11"/>
        <v>0</v>
      </c>
      <c r="I29" s="392">
        <f t="shared" si="11"/>
        <v>0</v>
      </c>
      <c r="J29" s="392">
        <f t="shared" si="11"/>
        <v>0</v>
      </c>
      <c r="K29" s="392">
        <f t="shared" si="11"/>
        <v>0</v>
      </c>
      <c r="L29" s="392">
        <f t="shared" si="11"/>
        <v>0</v>
      </c>
      <c r="M29" s="392">
        <f t="shared" si="11"/>
        <v>0</v>
      </c>
      <c r="N29" s="392">
        <f t="shared" si="11"/>
        <v>0</v>
      </c>
      <c r="O29" s="392">
        <f t="shared" si="11"/>
        <v>0</v>
      </c>
      <c r="P29" s="392">
        <f t="shared" si="11"/>
        <v>0</v>
      </c>
      <c r="Q29" s="392">
        <f t="shared" si="11"/>
        <v>0</v>
      </c>
      <c r="R29" s="392">
        <f t="shared" si="11"/>
        <v>0</v>
      </c>
      <c r="S29" s="392">
        <f t="shared" si="11"/>
        <v>0</v>
      </c>
      <c r="T29" s="392">
        <f t="shared" si="11"/>
        <v>0</v>
      </c>
      <c r="U29" s="392">
        <f t="shared" si="11"/>
        <v>0</v>
      </c>
      <c r="V29" s="392">
        <f t="shared" si="11"/>
        <v>0</v>
      </c>
      <c r="W29" s="392">
        <f t="shared" si="11"/>
        <v>0</v>
      </c>
      <c r="X29" s="392">
        <f t="shared" si="11"/>
        <v>0</v>
      </c>
      <c r="Y29" s="392">
        <f t="shared" si="11"/>
        <v>0</v>
      </c>
      <c r="Z29" s="392">
        <f t="shared" si="11"/>
        <v>0</v>
      </c>
      <c r="AA29" s="392">
        <f t="shared" si="11"/>
        <v>0</v>
      </c>
      <c r="AB29" s="392">
        <f t="shared" si="11"/>
        <v>0</v>
      </c>
      <c r="AC29" s="392">
        <f t="shared" si="11"/>
        <v>0</v>
      </c>
      <c r="AD29" s="392">
        <f t="shared" si="11"/>
        <v>0</v>
      </c>
      <c r="AE29" s="392">
        <f t="shared" si="11"/>
        <v>0</v>
      </c>
      <c r="AF29" s="392">
        <f t="shared" si="11"/>
        <v>0</v>
      </c>
      <c r="AG29" s="392">
        <f t="shared" si="11"/>
        <v>0</v>
      </c>
      <c r="AI29" s="392">
        <f>SUM(AI24:AI28)</f>
        <v>0</v>
      </c>
      <c r="AJ29" s="394">
        <f t="shared" si="9"/>
        <v>0</v>
      </c>
    </row>
    <row r="30" spans="1:38" x14ac:dyDescent="0.2">
      <c r="B30" s="417" t="s">
        <v>1015</v>
      </c>
      <c r="C30" s="418"/>
      <c r="D30" s="419"/>
      <c r="E30" s="1165">
        <f>E29-E20</f>
        <v>0</v>
      </c>
      <c r="F30" s="1165">
        <f t="shared" ref="F30:AG30" si="12">F29-F20</f>
        <v>0</v>
      </c>
      <c r="G30" s="1165">
        <f t="shared" si="12"/>
        <v>0</v>
      </c>
      <c r="H30" s="1165">
        <f t="shared" si="12"/>
        <v>0</v>
      </c>
      <c r="I30" s="1165">
        <f t="shared" si="12"/>
        <v>0</v>
      </c>
      <c r="J30" s="1165">
        <f t="shared" si="12"/>
        <v>0</v>
      </c>
      <c r="K30" s="1165">
        <f t="shared" si="12"/>
        <v>0</v>
      </c>
      <c r="L30" s="1165">
        <f t="shared" si="12"/>
        <v>0</v>
      </c>
      <c r="M30" s="1165">
        <f t="shared" si="12"/>
        <v>0</v>
      </c>
      <c r="N30" s="1165">
        <f t="shared" si="12"/>
        <v>0</v>
      </c>
      <c r="O30" s="1165">
        <f t="shared" si="12"/>
        <v>0</v>
      </c>
      <c r="P30" s="1165">
        <f t="shared" si="12"/>
        <v>0</v>
      </c>
      <c r="Q30" s="1165">
        <f t="shared" si="12"/>
        <v>0</v>
      </c>
      <c r="R30" s="1165">
        <f t="shared" si="12"/>
        <v>0</v>
      </c>
      <c r="S30" s="1165">
        <f t="shared" si="12"/>
        <v>0</v>
      </c>
      <c r="T30" s="1165">
        <f t="shared" si="12"/>
        <v>0</v>
      </c>
      <c r="U30" s="1165">
        <f t="shared" si="12"/>
        <v>0</v>
      </c>
      <c r="V30" s="1165">
        <f t="shared" si="12"/>
        <v>0</v>
      </c>
      <c r="W30" s="1165">
        <f t="shared" si="12"/>
        <v>0</v>
      </c>
      <c r="X30" s="1165">
        <f t="shared" si="12"/>
        <v>0</v>
      </c>
      <c r="Y30" s="1165">
        <f t="shared" si="12"/>
        <v>0</v>
      </c>
      <c r="Z30" s="1165">
        <f t="shared" si="12"/>
        <v>0</v>
      </c>
      <c r="AA30" s="1165">
        <f t="shared" si="12"/>
        <v>0</v>
      </c>
      <c r="AB30" s="1165">
        <f t="shared" si="12"/>
        <v>0</v>
      </c>
      <c r="AC30" s="1165">
        <f t="shared" si="12"/>
        <v>0</v>
      </c>
      <c r="AD30" s="1165">
        <f t="shared" si="12"/>
        <v>0</v>
      </c>
      <c r="AE30" s="1165">
        <f t="shared" si="12"/>
        <v>0</v>
      </c>
      <c r="AF30" s="1165">
        <f t="shared" si="12"/>
        <v>0</v>
      </c>
      <c r="AG30" s="1165">
        <f t="shared" si="12"/>
        <v>0</v>
      </c>
      <c r="AI30" s="406"/>
      <c r="AJ30" s="406"/>
      <c r="AL30" s="1162"/>
    </row>
    <row r="31" spans="1:38" x14ac:dyDescent="0.2">
      <c r="A31" s="1156" t="s">
        <v>706</v>
      </c>
      <c r="AJ31" s="1162" t="e">
        <f>AJ29-#REF!</f>
        <v>#REF!</v>
      </c>
    </row>
    <row r="32" spans="1:38" x14ac:dyDescent="0.2">
      <c r="AG32" s="1163"/>
    </row>
    <row r="33" spans="2:33" ht="15" x14ac:dyDescent="0.25">
      <c r="B33" s="1156" t="s">
        <v>1011</v>
      </c>
      <c r="T33"/>
      <c r="U33"/>
      <c r="V33"/>
      <c r="W33"/>
      <c r="X33"/>
      <c r="Y33" s="121"/>
      <c r="Z33"/>
      <c r="AA33"/>
      <c r="AB33"/>
      <c r="AC33"/>
      <c r="AD33"/>
      <c r="AE33"/>
      <c r="AF33"/>
      <c r="AG33"/>
    </row>
    <row r="34" spans="2:33" ht="15" customHeight="1" x14ac:dyDescent="0.25">
      <c r="T34"/>
      <c r="U34"/>
      <c r="V34"/>
      <c r="W34"/>
      <c r="X34"/>
      <c r="Y34"/>
      <c r="Z34"/>
      <c r="AA34"/>
      <c r="AB34"/>
      <c r="AC34"/>
      <c r="AD34"/>
      <c r="AE34"/>
      <c r="AF34"/>
      <c r="AG34"/>
    </row>
    <row r="35" spans="2:33" ht="15" customHeight="1" x14ac:dyDescent="0.25">
      <c r="T35"/>
      <c r="U35"/>
      <c r="V35"/>
      <c r="W35"/>
      <c r="X35"/>
      <c r="Y35"/>
      <c r="Z35"/>
      <c r="AA35"/>
      <c r="AB35"/>
      <c r="AC35"/>
      <c r="AD35"/>
      <c r="AE35"/>
      <c r="AF35"/>
      <c r="AG35"/>
    </row>
    <row r="36" spans="2:33" ht="15" x14ac:dyDescent="0.25">
      <c r="T36"/>
      <c r="U36"/>
      <c r="V36"/>
      <c r="W36"/>
      <c r="X36"/>
      <c r="Y36"/>
      <c r="Z36"/>
      <c r="AA36"/>
      <c r="AB36"/>
      <c r="AC36"/>
      <c r="AD36"/>
      <c r="AE36"/>
      <c r="AF36"/>
      <c r="AG36"/>
    </row>
    <row r="37" spans="2:33" ht="15" customHeight="1" x14ac:dyDescent="0.25">
      <c r="T37"/>
      <c r="U37"/>
      <c r="V37"/>
      <c r="W37"/>
      <c r="X37"/>
      <c r="Y37"/>
      <c r="Z37"/>
      <c r="AA37"/>
      <c r="AB37"/>
      <c r="AC37"/>
      <c r="AD37"/>
      <c r="AE37"/>
      <c r="AF37"/>
      <c r="AG37"/>
    </row>
    <row r="38" spans="2:33" ht="15" customHeight="1" x14ac:dyDescent="0.25">
      <c r="T38"/>
      <c r="U38"/>
      <c r="V38"/>
      <c r="W38"/>
      <c r="X38"/>
      <c r="Y38"/>
      <c r="Z38"/>
      <c r="AA38"/>
      <c r="AB38"/>
      <c r="AC38"/>
      <c r="AD38"/>
      <c r="AE38"/>
      <c r="AF38"/>
      <c r="AG38"/>
    </row>
    <row r="39" spans="2:33" ht="15" customHeight="1" x14ac:dyDescent="0.25">
      <c r="T39"/>
      <c r="U39"/>
      <c r="V39"/>
      <c r="W39"/>
      <c r="X39"/>
      <c r="Y39"/>
      <c r="Z39"/>
      <c r="AA39"/>
      <c r="AB39"/>
      <c r="AC39"/>
      <c r="AD39"/>
      <c r="AE39"/>
      <c r="AF39"/>
      <c r="AG39"/>
    </row>
    <row r="40" spans="2:33" ht="15" customHeight="1" x14ac:dyDescent="0.25">
      <c r="T40"/>
      <c r="U40"/>
      <c r="V40"/>
      <c r="W40"/>
      <c r="X40"/>
      <c r="Y40"/>
      <c r="Z40"/>
      <c r="AA40"/>
      <c r="AB40"/>
      <c r="AC40"/>
      <c r="AD40"/>
      <c r="AE40"/>
      <c r="AF40"/>
      <c r="AG40"/>
    </row>
    <row r="41" spans="2:33" ht="15" customHeight="1" x14ac:dyDescent="0.25">
      <c r="T41"/>
      <c r="U41"/>
      <c r="V41"/>
      <c r="W41"/>
      <c r="X41"/>
      <c r="Y41"/>
      <c r="Z41"/>
      <c r="AA41"/>
      <c r="AB41"/>
      <c r="AC41"/>
      <c r="AD41"/>
      <c r="AE41"/>
      <c r="AF41"/>
      <c r="AG41"/>
    </row>
    <row r="42" spans="2:33" ht="15" customHeight="1" x14ac:dyDescent="0.25">
      <c r="T42"/>
      <c r="U42"/>
      <c r="V42"/>
      <c r="W42"/>
      <c r="X42"/>
      <c r="Y42"/>
      <c r="Z42"/>
      <c r="AA42"/>
      <c r="AB42"/>
      <c r="AC42"/>
      <c r="AD42"/>
      <c r="AE42"/>
      <c r="AF42"/>
      <c r="AG42"/>
    </row>
    <row r="43" spans="2:33" ht="15" customHeight="1" x14ac:dyDescent="0.25">
      <c r="T43"/>
      <c r="U43"/>
      <c r="V43"/>
      <c r="W43"/>
      <c r="X43"/>
      <c r="Y43"/>
      <c r="Z43"/>
      <c r="AA43"/>
      <c r="AB43"/>
      <c r="AC43"/>
      <c r="AD43"/>
      <c r="AE43"/>
      <c r="AF43"/>
      <c r="AG43"/>
    </row>
    <row r="44" spans="2:33" ht="15" customHeight="1" x14ac:dyDescent="0.25">
      <c r="T44"/>
      <c r="U44"/>
      <c r="V44"/>
      <c r="W44"/>
      <c r="X44"/>
      <c r="Y44"/>
      <c r="Z44"/>
      <c r="AA44"/>
      <c r="AB44"/>
      <c r="AC44"/>
      <c r="AD44"/>
      <c r="AE44"/>
      <c r="AF44"/>
      <c r="AG44"/>
    </row>
    <row r="45" spans="2:33" ht="15" customHeight="1" x14ac:dyDescent="0.25">
      <c r="T45"/>
      <c r="U45"/>
      <c r="V45"/>
      <c r="W45"/>
      <c r="X45"/>
      <c r="Y45"/>
      <c r="Z45"/>
      <c r="AA45"/>
      <c r="AB45"/>
      <c r="AC45"/>
      <c r="AD45"/>
      <c r="AE45"/>
      <c r="AF45"/>
      <c r="AG45"/>
    </row>
  </sheetData>
  <mergeCells count="26">
    <mergeCell ref="B8:D8"/>
    <mergeCell ref="B1:AJ1"/>
    <mergeCell ref="B4:G4"/>
    <mergeCell ref="B5:D5"/>
    <mergeCell ref="B6:D6"/>
    <mergeCell ref="B7:D7"/>
    <mergeCell ref="B20:D20"/>
    <mergeCell ref="B9:D9"/>
    <mergeCell ref="B10:D10"/>
    <mergeCell ref="B11:D11"/>
    <mergeCell ref="B12:D12"/>
    <mergeCell ref="B13:D13"/>
    <mergeCell ref="B14:D14"/>
    <mergeCell ref="B15:D15"/>
    <mergeCell ref="B16:D16"/>
    <mergeCell ref="B17:D17"/>
    <mergeCell ref="B18:D18"/>
    <mergeCell ref="B19:D19"/>
    <mergeCell ref="B28:D28"/>
    <mergeCell ref="B29:D29"/>
    <mergeCell ref="B22:G22"/>
    <mergeCell ref="B23:D23"/>
    <mergeCell ref="B24:D24"/>
    <mergeCell ref="B25:D25"/>
    <mergeCell ref="B26:D26"/>
    <mergeCell ref="B27:D27"/>
  </mergeCells>
  <pageMargins left="0.7" right="0.7" top="0.75" bottom="0.75" header="0.3" footer="0.3"/>
  <pageSetup scale="35" orientation="landscape" r:id="rId1"/>
  <headerFooter>
    <oddFooter>&amp;L&amp;F</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AADDE-2722-4B73-A735-9DC0DDB65CC1}">
  <sheetPr codeName="Sheet14">
    <pageSetUpPr fitToPage="1"/>
  </sheetPr>
  <dimension ref="B1:O25"/>
  <sheetViews>
    <sheetView showGridLines="0" zoomScaleNormal="100" zoomScaleSheetLayoutView="100" workbookViewId="0">
      <selection activeCell="J32" sqref="J32"/>
    </sheetView>
  </sheetViews>
  <sheetFormatPr defaultRowHeight="15" x14ac:dyDescent="0.25"/>
  <sheetData>
    <row r="1" spans="2:15" ht="15.75" thickBot="1" x14ac:dyDescent="0.3"/>
    <row r="2" spans="2:15" ht="15.75" thickBot="1" x14ac:dyDescent="0.3">
      <c r="B2" s="1233" t="s">
        <v>692</v>
      </c>
      <c r="C2" s="1234"/>
      <c r="D2" s="1234"/>
      <c r="E2" s="1234"/>
      <c r="F2" s="1234"/>
      <c r="G2" s="1234"/>
      <c r="H2" s="1234"/>
      <c r="I2" s="1234"/>
      <c r="J2" s="1234"/>
      <c r="K2" s="1234"/>
      <c r="L2" s="1234"/>
      <c r="M2" s="1235"/>
    </row>
    <row r="3" spans="2:15" x14ac:dyDescent="0.25">
      <c r="B3" s="1651" t="s">
        <v>6</v>
      </c>
      <c r="C3" s="1652"/>
      <c r="D3" s="1652"/>
      <c r="E3" s="1652"/>
      <c r="F3" s="1652"/>
      <c r="G3" s="205" t="s">
        <v>142</v>
      </c>
      <c r="H3" s="1648">
        <f>Summary!E12</f>
        <v>0</v>
      </c>
      <c r="I3" s="1649"/>
      <c r="J3" s="1648">
        <f>H3-1</f>
        <v>-1</v>
      </c>
      <c r="K3" s="1649"/>
      <c r="L3" s="1648">
        <f>J3-1</f>
        <v>-2</v>
      </c>
      <c r="M3" s="1650"/>
      <c r="O3" t="s">
        <v>1022</v>
      </c>
    </row>
    <row r="4" spans="2:15" x14ac:dyDescent="0.25">
      <c r="B4" s="1599" t="s">
        <v>157</v>
      </c>
      <c r="C4" s="1600"/>
      <c r="D4" s="1600"/>
      <c r="E4" s="1600"/>
      <c r="F4" s="1600"/>
      <c r="G4" s="423"/>
      <c r="H4" s="1627"/>
      <c r="I4" s="1635"/>
      <c r="J4" s="1627"/>
      <c r="K4" s="1635"/>
      <c r="L4" s="1627"/>
      <c r="M4" s="1628"/>
    </row>
    <row r="5" spans="2:15" x14ac:dyDescent="0.25">
      <c r="B5" s="1599" t="s">
        <v>158</v>
      </c>
      <c r="C5" s="1600"/>
      <c r="D5" s="1600"/>
      <c r="E5" s="1600"/>
      <c r="F5" s="1600"/>
      <c r="G5" s="423"/>
      <c r="H5" s="1637"/>
      <c r="I5" s="1638"/>
      <c r="J5" s="1637"/>
      <c r="K5" s="1638"/>
      <c r="L5" s="1637"/>
      <c r="M5" s="1639"/>
    </row>
    <row r="6" spans="2:15" x14ac:dyDescent="0.25">
      <c r="B6" s="1599" t="s">
        <v>143</v>
      </c>
      <c r="C6" s="1600"/>
      <c r="D6" s="1600"/>
      <c r="E6" s="1600"/>
      <c r="F6" s="1600"/>
      <c r="G6" s="423"/>
      <c r="H6" s="1627"/>
      <c r="I6" s="1635"/>
      <c r="J6" s="1627"/>
      <c r="K6" s="1635"/>
      <c r="L6" s="1627"/>
      <c r="M6" s="1628"/>
    </row>
    <row r="7" spans="2:15" x14ac:dyDescent="0.25">
      <c r="B7" s="1599" t="s">
        <v>144</v>
      </c>
      <c r="C7" s="1600"/>
      <c r="D7" s="1600"/>
      <c r="E7" s="1600"/>
      <c r="F7" s="1600"/>
      <c r="G7" s="423"/>
      <c r="H7" s="1627"/>
      <c r="I7" s="1635"/>
      <c r="J7" s="1627"/>
      <c r="K7" s="1635"/>
      <c r="L7" s="1627"/>
      <c r="M7" s="1628"/>
    </row>
    <row r="8" spans="2:15" x14ac:dyDescent="0.25">
      <c r="B8" s="1599" t="s">
        <v>145</v>
      </c>
      <c r="C8" s="1600"/>
      <c r="D8" s="1600"/>
      <c r="E8" s="1600"/>
      <c r="F8" s="1600"/>
      <c r="G8" s="423"/>
      <c r="H8" s="1627"/>
      <c r="I8" s="1635"/>
      <c r="J8" s="1627"/>
      <c r="K8" s="1635"/>
      <c r="L8" s="1627"/>
      <c r="M8" s="1628"/>
    </row>
    <row r="9" spans="2:15" x14ac:dyDescent="0.25">
      <c r="B9" s="1599" t="s">
        <v>146</v>
      </c>
      <c r="C9" s="1600"/>
      <c r="D9" s="1600"/>
      <c r="E9" s="1600"/>
      <c r="F9" s="1600"/>
      <c r="G9" s="423"/>
      <c r="H9" s="1633">
        <f>H7+H8</f>
        <v>0</v>
      </c>
      <c r="I9" s="1634" t="e">
        <f>M9+#REF!</f>
        <v>#REF!</v>
      </c>
      <c r="J9" s="1633">
        <f>J7+J8</f>
        <v>0</v>
      </c>
      <c r="K9" s="1634" t="e">
        <f>Summary!O183+#REF!</f>
        <v>#REF!</v>
      </c>
      <c r="L9" s="1633">
        <f>L7+L8</f>
        <v>0</v>
      </c>
      <c r="M9" s="1636" t="e">
        <f>Summary!Q183+#REF!</f>
        <v>#REF!</v>
      </c>
    </row>
    <row r="10" spans="2:15" x14ac:dyDescent="0.25">
      <c r="B10" s="1599" t="s">
        <v>147</v>
      </c>
      <c r="C10" s="1600"/>
      <c r="D10" s="1600"/>
      <c r="E10" s="1600"/>
      <c r="F10" s="1600"/>
      <c r="G10" s="423"/>
      <c r="H10" s="1627"/>
      <c r="I10" s="1635"/>
      <c r="J10" s="1627"/>
      <c r="K10" s="1635"/>
      <c r="L10" s="1627"/>
      <c r="M10" s="1628"/>
    </row>
    <row r="11" spans="2:15" x14ac:dyDescent="0.25">
      <c r="B11" s="1599" t="s">
        <v>148</v>
      </c>
      <c r="C11" s="1600"/>
      <c r="D11" s="1600"/>
      <c r="E11" s="1600"/>
      <c r="F11" s="1600"/>
      <c r="G11" s="423"/>
      <c r="H11" s="1627"/>
      <c r="I11" s="1635"/>
      <c r="J11" s="1627"/>
      <c r="K11" s="1635"/>
      <c r="L11" s="1627"/>
      <c r="M11" s="1628"/>
    </row>
    <row r="12" spans="2:15" x14ac:dyDescent="0.25">
      <c r="B12" s="1601" t="s">
        <v>149</v>
      </c>
      <c r="C12" s="1602"/>
      <c r="D12" s="1602"/>
      <c r="E12" s="1602"/>
      <c r="F12" s="1603"/>
      <c r="G12" s="423"/>
      <c r="H12" s="1633">
        <f>H10+H11</f>
        <v>0</v>
      </c>
      <c r="I12" s="1634"/>
      <c r="J12" s="1633">
        <f>J10+J11</f>
        <v>0</v>
      </c>
      <c r="K12" s="1634"/>
      <c r="L12" s="1633">
        <f>L10+L11</f>
        <v>0</v>
      </c>
      <c r="M12" s="1636"/>
    </row>
    <row r="13" spans="2:15" x14ac:dyDescent="0.25">
      <c r="B13" s="1599" t="s">
        <v>150</v>
      </c>
      <c r="C13" s="1600"/>
      <c r="D13" s="1600"/>
      <c r="E13" s="1600"/>
      <c r="F13" s="1600"/>
      <c r="G13" s="423"/>
      <c r="H13" s="1633">
        <f>H9-H12</f>
        <v>0</v>
      </c>
      <c r="I13" s="1634" t="e">
        <f>M13+#REF!</f>
        <v>#REF!</v>
      </c>
      <c r="J13" s="1633">
        <f>J9-J12</f>
        <v>0</v>
      </c>
      <c r="K13" s="1634" t="e">
        <f>Summary!O187+#REF!</f>
        <v>#REF!</v>
      </c>
      <c r="L13" s="1633">
        <f>L9-L12</f>
        <v>0</v>
      </c>
      <c r="M13" s="1636" t="e">
        <f>Summary!Q187+#REF!</f>
        <v>#REF!</v>
      </c>
    </row>
    <row r="14" spans="2:15" x14ac:dyDescent="0.25">
      <c r="B14" s="1599" t="s">
        <v>151</v>
      </c>
      <c r="C14" s="1600"/>
      <c r="D14" s="1600"/>
      <c r="E14" s="1600"/>
      <c r="F14" s="1600"/>
      <c r="G14" s="423"/>
      <c r="H14" s="1633">
        <f>H7-H10</f>
        <v>0</v>
      </c>
      <c r="I14" s="1634" t="e">
        <f>M14+#REF!</f>
        <v>#REF!</v>
      </c>
      <c r="J14" s="1633">
        <f>J7-J10</f>
        <v>0</v>
      </c>
      <c r="K14" s="1634" t="e">
        <f>Summary!O188+#REF!</f>
        <v>#REF!</v>
      </c>
      <c r="L14" s="1633">
        <f>L7-L10</f>
        <v>0</v>
      </c>
      <c r="M14" s="1636" t="e">
        <f>Summary!Q188+#REF!</f>
        <v>#REF!</v>
      </c>
    </row>
    <row r="15" spans="2:15" x14ac:dyDescent="0.25">
      <c r="B15" s="1599" t="s">
        <v>152</v>
      </c>
      <c r="C15" s="1600"/>
      <c r="D15" s="1600"/>
      <c r="E15" s="1600"/>
      <c r="F15" s="1600"/>
      <c r="G15" s="423" t="s">
        <v>153</v>
      </c>
      <c r="H15" s="1642" t="e">
        <f t="shared" ref="H15:M15" si="0">H7/H10</f>
        <v>#DIV/0!</v>
      </c>
      <c r="I15" s="1643" t="e">
        <f t="shared" si="0"/>
        <v>#DIV/0!</v>
      </c>
      <c r="J15" s="1642" t="e">
        <f t="shared" si="0"/>
        <v>#DIV/0!</v>
      </c>
      <c r="K15" s="1643" t="e">
        <f t="shared" si="0"/>
        <v>#DIV/0!</v>
      </c>
      <c r="L15" s="1642" t="e">
        <f t="shared" si="0"/>
        <v>#DIV/0!</v>
      </c>
      <c r="M15" s="1644" t="e">
        <f t="shared" si="0"/>
        <v>#DIV/0!</v>
      </c>
    </row>
    <row r="16" spans="2:15" x14ac:dyDescent="0.25">
      <c r="B16" s="1599" t="s">
        <v>154</v>
      </c>
      <c r="C16" s="1600"/>
      <c r="D16" s="1600"/>
      <c r="E16" s="1600"/>
      <c r="F16" s="1600"/>
      <c r="G16" s="423" t="s">
        <v>153</v>
      </c>
      <c r="H16" s="1642" t="e">
        <f t="shared" ref="H16:M16" si="1">H6/H10</f>
        <v>#DIV/0!</v>
      </c>
      <c r="I16" s="1643" t="e">
        <f t="shared" si="1"/>
        <v>#DIV/0!</v>
      </c>
      <c r="J16" s="1642" t="e">
        <f t="shared" si="1"/>
        <v>#DIV/0!</v>
      </c>
      <c r="K16" s="1643" t="e">
        <f t="shared" si="1"/>
        <v>#DIV/0!</v>
      </c>
      <c r="L16" s="1642" t="e">
        <f t="shared" si="1"/>
        <v>#DIV/0!</v>
      </c>
      <c r="M16" s="1644" t="e">
        <f t="shared" si="1"/>
        <v>#DIV/0!</v>
      </c>
    </row>
    <row r="17" spans="2:13" ht="15.75" thickBot="1" x14ac:dyDescent="0.3">
      <c r="B17" s="1645" t="s">
        <v>155</v>
      </c>
      <c r="C17" s="1646"/>
      <c r="D17" s="1646"/>
      <c r="E17" s="1646"/>
      <c r="F17" s="1646"/>
      <c r="G17" s="507" t="s">
        <v>156</v>
      </c>
      <c r="H17" s="1640" t="e">
        <f t="shared" ref="H17:M17" si="2">H11/H13</f>
        <v>#DIV/0!</v>
      </c>
      <c r="I17" s="1641" t="e">
        <f t="shared" si="2"/>
        <v>#REF!</v>
      </c>
      <c r="J17" s="1640" t="e">
        <f t="shared" si="2"/>
        <v>#DIV/0!</v>
      </c>
      <c r="K17" s="1641" t="e">
        <f t="shared" si="2"/>
        <v>#REF!</v>
      </c>
      <c r="L17" s="1640" t="e">
        <f t="shared" si="2"/>
        <v>#DIV/0!</v>
      </c>
      <c r="M17" s="1647" t="e">
        <f t="shared" si="2"/>
        <v>#REF!</v>
      </c>
    </row>
    <row r="18" spans="2:13" ht="15.75" thickBot="1" x14ac:dyDescent="0.3"/>
    <row r="19" spans="2:13" x14ac:dyDescent="0.25">
      <c r="B19" s="1329" t="s">
        <v>693</v>
      </c>
      <c r="C19" s="1330"/>
      <c r="D19" s="1330"/>
      <c r="E19" s="1330"/>
      <c r="F19" s="1330"/>
      <c r="G19" s="1330"/>
      <c r="H19" s="1331"/>
    </row>
    <row r="20" spans="2:13" x14ac:dyDescent="0.25">
      <c r="B20" s="1271" t="s">
        <v>697</v>
      </c>
      <c r="C20" s="1272"/>
      <c r="D20" s="1272"/>
      <c r="E20" s="1272"/>
      <c r="F20" s="1272"/>
      <c r="G20" s="1627"/>
      <c r="H20" s="1628"/>
    </row>
    <row r="21" spans="2:13" x14ac:dyDescent="0.25">
      <c r="B21" s="1271" t="s">
        <v>698</v>
      </c>
      <c r="C21" s="1272"/>
      <c r="D21" s="1272"/>
      <c r="E21" s="1272"/>
      <c r="F21" s="1272"/>
      <c r="G21" s="1627"/>
      <c r="H21" s="1628"/>
    </row>
    <row r="22" spans="2:13" x14ac:dyDescent="0.25">
      <c r="B22" s="1271" t="s">
        <v>696</v>
      </c>
      <c r="C22" s="1272"/>
      <c r="D22" s="1272"/>
      <c r="E22" s="1272"/>
      <c r="F22" s="1272"/>
      <c r="G22" s="1627"/>
      <c r="H22" s="1628"/>
    </row>
    <row r="23" spans="2:13" x14ac:dyDescent="0.25">
      <c r="B23" s="1271" t="s">
        <v>694</v>
      </c>
      <c r="C23" s="1272"/>
      <c r="D23" s="1272"/>
      <c r="E23" s="1272"/>
      <c r="F23" s="1272"/>
      <c r="G23" s="1629"/>
      <c r="H23" s="1630"/>
    </row>
    <row r="24" spans="2:13" x14ac:dyDescent="0.25">
      <c r="B24" s="1271" t="s">
        <v>695</v>
      </c>
      <c r="C24" s="1272"/>
      <c r="D24" s="1272"/>
      <c r="E24" s="1272"/>
      <c r="F24" s="1272"/>
      <c r="G24" s="1627"/>
      <c r="H24" s="1628"/>
    </row>
    <row r="25" spans="2:13" ht="15.75" thickBot="1" x14ac:dyDescent="0.3">
      <c r="B25" s="1625" t="s">
        <v>1019</v>
      </c>
      <c r="C25" s="1626"/>
      <c r="D25" s="1626"/>
      <c r="E25" s="1626"/>
      <c r="F25" s="1626"/>
      <c r="G25" s="1631"/>
      <c r="H25" s="1632"/>
    </row>
  </sheetData>
  <sheetProtection sheet="1" objects="1" scenarios="1" formatCells="0"/>
  <mergeCells count="74">
    <mergeCell ref="B12:F12"/>
    <mergeCell ref="B9:F9"/>
    <mergeCell ref="B11:F11"/>
    <mergeCell ref="H5:I5"/>
    <mergeCell ref="H6:I6"/>
    <mergeCell ref="H10:I10"/>
    <mergeCell ref="B10:F10"/>
    <mergeCell ref="J3:K3"/>
    <mergeCell ref="L3:M3"/>
    <mergeCell ref="B2:M2"/>
    <mergeCell ref="B8:F8"/>
    <mergeCell ref="L7:M7"/>
    <mergeCell ref="H4:I4"/>
    <mergeCell ref="H3:I3"/>
    <mergeCell ref="B3:F3"/>
    <mergeCell ref="H7:I7"/>
    <mergeCell ref="H13:I13"/>
    <mergeCell ref="H9:I9"/>
    <mergeCell ref="L13:M13"/>
    <mergeCell ref="J8:K8"/>
    <mergeCell ref="L8:M8"/>
    <mergeCell ref="J10:K10"/>
    <mergeCell ref="L10:M10"/>
    <mergeCell ref="H11:I11"/>
    <mergeCell ref="J9:K9"/>
    <mergeCell ref="L9:M9"/>
    <mergeCell ref="H12:I12"/>
    <mergeCell ref="J11:K11"/>
    <mergeCell ref="L11:M11"/>
    <mergeCell ref="B14:F14"/>
    <mergeCell ref="J14:K14"/>
    <mergeCell ref="L14:M14"/>
    <mergeCell ref="H17:I17"/>
    <mergeCell ref="H16:I16"/>
    <mergeCell ref="L16:M16"/>
    <mergeCell ref="H14:I14"/>
    <mergeCell ref="H15:I15"/>
    <mergeCell ref="B17:F17"/>
    <mergeCell ref="J17:K17"/>
    <mergeCell ref="L17:M17"/>
    <mergeCell ref="B15:F15"/>
    <mergeCell ref="J15:K15"/>
    <mergeCell ref="L15:M15"/>
    <mergeCell ref="B16:F16"/>
    <mergeCell ref="J16:K16"/>
    <mergeCell ref="B13:F13"/>
    <mergeCell ref="J13:K13"/>
    <mergeCell ref="J4:K4"/>
    <mergeCell ref="L4:M4"/>
    <mergeCell ref="J6:K6"/>
    <mergeCell ref="L6:M6"/>
    <mergeCell ref="J12:K12"/>
    <mergeCell ref="L12:M12"/>
    <mergeCell ref="H8:I8"/>
    <mergeCell ref="B4:F4"/>
    <mergeCell ref="B6:F6"/>
    <mergeCell ref="B5:F5"/>
    <mergeCell ref="J5:K5"/>
    <mergeCell ref="L5:M5"/>
    <mergeCell ref="J7:K7"/>
    <mergeCell ref="B7:F7"/>
    <mergeCell ref="B24:F24"/>
    <mergeCell ref="B25:F25"/>
    <mergeCell ref="B19:H19"/>
    <mergeCell ref="G22:H22"/>
    <mergeCell ref="G23:H23"/>
    <mergeCell ref="G20:H20"/>
    <mergeCell ref="G21:H21"/>
    <mergeCell ref="G24:H24"/>
    <mergeCell ref="G25:H25"/>
    <mergeCell ref="B22:F22"/>
    <mergeCell ref="B23:F23"/>
    <mergeCell ref="B20:F20"/>
    <mergeCell ref="B21:F21"/>
  </mergeCells>
  <pageMargins left="0.7" right="0.7" top="0.75" bottom="0.75" header="0.3" footer="0.3"/>
  <pageSetup orientation="landscape" r:id="rId1"/>
  <headerFooter>
    <oddFooter>&amp;L&amp;F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C194"/>
  <sheetViews>
    <sheetView workbookViewId="0">
      <selection activeCell="L15" sqref="L15"/>
    </sheetView>
  </sheetViews>
  <sheetFormatPr defaultRowHeight="15" x14ac:dyDescent="0.25"/>
  <cols>
    <col min="1" max="1" width="30.85546875" bestFit="1" customWidth="1"/>
    <col min="2" max="2" width="10.5703125" bestFit="1" customWidth="1"/>
    <col min="3" max="3" width="7.5703125" bestFit="1" customWidth="1"/>
    <col min="4" max="10" width="12.7109375" customWidth="1"/>
    <col min="11" max="11" width="30.85546875" bestFit="1" customWidth="1"/>
    <col min="12" max="12" width="10.5703125" bestFit="1" customWidth="1"/>
    <col min="13" max="13" width="7.5703125" bestFit="1" customWidth="1"/>
    <col min="14" max="20" width="12.7109375" customWidth="1"/>
    <col min="21" max="21" width="30.85546875" bestFit="1" customWidth="1"/>
    <col min="22" max="22" width="10.5703125" bestFit="1" customWidth="1"/>
    <col min="23" max="23" width="7.5703125" bestFit="1" customWidth="1"/>
    <col min="24" max="30" width="12.7109375" customWidth="1"/>
  </cols>
  <sheetData>
    <row r="1" spans="1:29" x14ac:dyDescent="0.25">
      <c r="A1" s="1" t="s">
        <v>205</v>
      </c>
      <c r="B1" s="1"/>
      <c r="C1" s="1"/>
      <c r="K1" s="1" t="s">
        <v>295</v>
      </c>
      <c r="L1" s="1"/>
      <c r="M1" s="1"/>
      <c r="U1" s="1" t="s">
        <v>102</v>
      </c>
      <c r="V1" s="1"/>
      <c r="W1" s="1"/>
    </row>
    <row r="2" spans="1:29" x14ac:dyDescent="0.25">
      <c r="A2" t="s">
        <v>206</v>
      </c>
      <c r="B2" s="143">
        <f>'Sources &amp; Loan Sizing'!K90</f>
        <v>0</v>
      </c>
      <c r="K2" t="s">
        <v>206</v>
      </c>
      <c r="L2" s="143">
        <f>'Sources &amp; Loan Sizing'!L90</f>
        <v>0</v>
      </c>
      <c r="U2" t="s">
        <v>206</v>
      </c>
      <c r="V2" s="143">
        <f>'Sources &amp; Loan Sizing'!M90</f>
        <v>0</v>
      </c>
    </row>
    <row r="3" spans="1:29" x14ac:dyDescent="0.25">
      <c r="A3" t="s">
        <v>44</v>
      </c>
      <c r="B3" s="144">
        <f>'Sources &amp; Loan Sizing'!K91</f>
        <v>7.0000000000000007E-2</v>
      </c>
      <c r="K3" t="s">
        <v>44</v>
      </c>
      <c r="L3" s="144">
        <f>'Sources &amp; Loan Sizing'!L91</f>
        <v>7.0000000000000007E-2</v>
      </c>
      <c r="U3" t="s">
        <v>44</v>
      </c>
      <c r="V3" s="144">
        <f>'Sources &amp; Loan Sizing'!M91</f>
        <v>7.0000000000000007E-2</v>
      </c>
    </row>
    <row r="4" spans="1:29" x14ac:dyDescent="0.25">
      <c r="A4" t="s">
        <v>207</v>
      </c>
      <c r="B4">
        <f>'Sources &amp; Loan Sizing'!K93</f>
        <v>30</v>
      </c>
      <c r="K4" t="s">
        <v>207</v>
      </c>
      <c r="L4">
        <f>'Sources &amp; Loan Sizing'!L93</f>
        <v>26</v>
      </c>
      <c r="U4" t="s">
        <v>207</v>
      </c>
      <c r="V4">
        <f>'Sources &amp; Loan Sizing'!M93</f>
        <v>0</v>
      </c>
    </row>
    <row r="5" spans="1:29" x14ac:dyDescent="0.25">
      <c r="A5" t="s">
        <v>208</v>
      </c>
      <c r="B5">
        <f>'Sources &amp; Loan Sizing'!K94</f>
        <v>0</v>
      </c>
      <c r="K5" t="s">
        <v>208</v>
      </c>
      <c r="L5">
        <f>'Sources &amp; Loan Sizing'!L94</f>
        <v>0</v>
      </c>
      <c r="U5" t="s">
        <v>208</v>
      </c>
      <c r="V5">
        <f>'Sources &amp; Loan Sizing'!M94</f>
        <v>0</v>
      </c>
    </row>
    <row r="6" spans="1:29" x14ac:dyDescent="0.25">
      <c r="A6" t="s">
        <v>288</v>
      </c>
      <c r="B6">
        <v>12</v>
      </c>
      <c r="K6" t="s">
        <v>288</v>
      </c>
      <c r="L6">
        <v>12</v>
      </c>
      <c r="U6" t="s">
        <v>288</v>
      </c>
      <c r="V6">
        <v>12</v>
      </c>
    </row>
    <row r="7" spans="1:29" x14ac:dyDescent="0.25">
      <c r="A7" t="s">
        <v>289</v>
      </c>
      <c r="B7" s="178">
        <f>-PMT(B3/B6,B4*B6,B2)</f>
        <v>0</v>
      </c>
      <c r="K7" t="s">
        <v>289</v>
      </c>
      <c r="L7" s="178">
        <f>-PMT(L3/L6,L4*L6,L2)</f>
        <v>0</v>
      </c>
      <c r="U7" t="s">
        <v>289</v>
      </c>
      <c r="V7" s="178">
        <f>IF(V4=0,V2*V3,-PMT(V3/V6,V4*V6,V2))</f>
        <v>0</v>
      </c>
    </row>
    <row r="8" spans="1:29" x14ac:dyDescent="0.25">
      <c r="A8" t="s">
        <v>607</v>
      </c>
      <c r="B8" s="178">
        <f>'Sources &amp; Loan Sizing'!K98</f>
        <v>0</v>
      </c>
      <c r="K8" t="s">
        <v>607</v>
      </c>
      <c r="L8" s="178">
        <f>'Sources &amp; Loan Sizing'!L98</f>
        <v>0</v>
      </c>
      <c r="U8" t="s">
        <v>607</v>
      </c>
      <c r="V8" s="178">
        <f>'Sources &amp; Loan Sizing'!M98</f>
        <v>0</v>
      </c>
    </row>
    <row r="9" spans="1:29" x14ac:dyDescent="0.25">
      <c r="A9" t="s">
        <v>261</v>
      </c>
      <c r="B9" s="178">
        <f>IF(B8&gt;0,B8,B7)</f>
        <v>0</v>
      </c>
      <c r="K9" t="s">
        <v>261</v>
      </c>
      <c r="L9" s="178">
        <f>IF(L8&gt;0,L8,L7)</f>
        <v>0</v>
      </c>
      <c r="U9" t="s">
        <v>261</v>
      </c>
      <c r="V9" s="178">
        <f>IF(V8&gt;0,V8,V7)</f>
        <v>0</v>
      </c>
    </row>
    <row r="10" spans="1:29" x14ac:dyDescent="0.25">
      <c r="A10" t="s">
        <v>290</v>
      </c>
      <c r="B10">
        <f>'Sources &amp; Loan Sizing'!K96</f>
        <v>0</v>
      </c>
      <c r="K10" t="s">
        <v>290</v>
      </c>
      <c r="L10">
        <f>'Sources &amp; Loan Sizing'!L96</f>
        <v>0</v>
      </c>
      <c r="U10" t="s">
        <v>290</v>
      </c>
      <c r="V10">
        <f>'Sources &amp; Loan Sizing'!M96</f>
        <v>0</v>
      </c>
    </row>
    <row r="11" spans="1:29" x14ac:dyDescent="0.25">
      <c r="A11" t="s">
        <v>294</v>
      </c>
      <c r="B11" s="6">
        <f>B3*B2/B6</f>
        <v>0</v>
      </c>
      <c r="K11" t="s">
        <v>294</v>
      </c>
      <c r="L11" s="6">
        <f>L3*L2/L6</f>
        <v>0</v>
      </c>
      <c r="U11" t="s">
        <v>294</v>
      </c>
      <c r="V11" s="6">
        <f>V3*V2/V6</f>
        <v>0</v>
      </c>
    </row>
    <row r="14" spans="1:29" x14ac:dyDescent="0.25">
      <c r="A14" s="145" t="s">
        <v>291</v>
      </c>
      <c r="B14" s="145" t="s">
        <v>292</v>
      </c>
      <c r="C14" s="145" t="s">
        <v>293</v>
      </c>
      <c r="D14" s="145" t="s">
        <v>209</v>
      </c>
      <c r="E14" s="145" t="s">
        <v>296</v>
      </c>
      <c r="F14" s="145" t="s">
        <v>206</v>
      </c>
      <c r="G14" s="145" t="s">
        <v>210</v>
      </c>
      <c r="H14" s="145" t="s">
        <v>297</v>
      </c>
      <c r="I14" s="145" t="s">
        <v>211</v>
      </c>
      <c r="K14" s="145" t="s">
        <v>291</v>
      </c>
      <c r="L14" s="145" t="s">
        <v>292</v>
      </c>
      <c r="M14" s="145" t="s">
        <v>293</v>
      </c>
      <c r="N14" s="145" t="s">
        <v>209</v>
      </c>
      <c r="O14" s="145" t="s">
        <v>296</v>
      </c>
      <c r="P14" s="145" t="s">
        <v>206</v>
      </c>
      <c r="Q14" s="145" t="s">
        <v>210</v>
      </c>
      <c r="R14" s="145" t="s">
        <v>297</v>
      </c>
      <c r="S14" s="145" t="s">
        <v>211</v>
      </c>
      <c r="U14" s="145" t="s">
        <v>291</v>
      </c>
      <c r="V14" s="145" t="s">
        <v>292</v>
      </c>
      <c r="W14" s="145" t="s">
        <v>293</v>
      </c>
      <c r="X14" s="145" t="s">
        <v>209</v>
      </c>
      <c r="Y14" s="145" t="s">
        <v>296</v>
      </c>
      <c r="Z14" s="145" t="s">
        <v>206</v>
      </c>
      <c r="AA14" s="145" t="s">
        <v>210</v>
      </c>
      <c r="AB14" s="145" t="s">
        <v>297</v>
      </c>
      <c r="AC14" s="145" t="s">
        <v>211</v>
      </c>
    </row>
    <row r="15" spans="1:29" x14ac:dyDescent="0.25">
      <c r="A15">
        <v>1</v>
      </c>
      <c r="B15">
        <f>A15*12/B$6</f>
        <v>1</v>
      </c>
      <c r="C15" s="200">
        <f>A15/B$6</f>
        <v>8.3333333333333329E-2</v>
      </c>
      <c r="D15" s="6">
        <f>B2</f>
        <v>0</v>
      </c>
      <c r="E15" s="6">
        <f>B$9</f>
        <v>0</v>
      </c>
      <c r="F15" s="6">
        <f t="shared" ref="F15:F46" si="0">IF(B$10&gt;=A15,0,E15-G15)</f>
        <v>0</v>
      </c>
      <c r="G15" s="6">
        <f>D15*B$3/B$6</f>
        <v>0</v>
      </c>
      <c r="H15" s="6">
        <f>SUM(F15:G15)</f>
        <v>0</v>
      </c>
      <c r="I15" s="6">
        <f>D15-F15</f>
        <v>0</v>
      </c>
      <c r="K15">
        <v>1</v>
      </c>
      <c r="L15">
        <f>K15*12/L$6</f>
        <v>1</v>
      </c>
      <c r="M15" s="200">
        <f>K15/L$6</f>
        <v>8.3333333333333329E-2</v>
      </c>
      <c r="N15" s="6">
        <f>L2</f>
        <v>0</v>
      </c>
      <c r="O15" s="6">
        <f>L$9</f>
        <v>0</v>
      </c>
      <c r="P15" s="6">
        <f t="shared" ref="P15:P46" si="1">IF(L$10&gt;=K15,0,O15-Q15)</f>
        <v>0</v>
      </c>
      <c r="Q15" s="6">
        <f>N15*L$3/L$6</f>
        <v>0</v>
      </c>
      <c r="R15" s="6">
        <f>SUM(P15:Q15)</f>
        <v>0</v>
      </c>
      <c r="S15" s="6">
        <f>N15-P15</f>
        <v>0</v>
      </c>
      <c r="U15">
        <v>1</v>
      </c>
      <c r="V15">
        <f>U15*12/V$6</f>
        <v>1</v>
      </c>
      <c r="W15" s="200">
        <f>U15/V$6</f>
        <v>8.3333333333333329E-2</v>
      </c>
      <c r="X15" s="6">
        <f>V2</f>
        <v>0</v>
      </c>
      <c r="Y15" s="6">
        <f>V$9</f>
        <v>0</v>
      </c>
      <c r="Z15" s="6">
        <f t="shared" ref="Z15:Z46" si="2">IF(V$10&gt;=U15,0,Y15-AA15)</f>
        <v>0</v>
      </c>
      <c r="AA15" s="6">
        <f>X15*V$3/V$6</f>
        <v>0</v>
      </c>
      <c r="AB15" s="6">
        <f>SUM(Z15:AA15)</f>
        <v>0</v>
      </c>
      <c r="AC15" s="6">
        <f>X15-Z15</f>
        <v>0</v>
      </c>
    </row>
    <row r="16" spans="1:29" x14ac:dyDescent="0.25">
      <c r="A16">
        <v>2</v>
      </c>
      <c r="B16">
        <f t="shared" ref="B16:B79" si="3">A16*12/B$6</f>
        <v>2</v>
      </c>
      <c r="C16" s="200">
        <f t="shared" ref="C16:C79" si="4">A16/B$6</f>
        <v>0.16666666666666666</v>
      </c>
      <c r="D16" s="6">
        <f>IF(I15&gt;0,I15,0)</f>
        <v>0</v>
      </c>
      <c r="E16" s="6">
        <f>IF(D16&gt;0,MIN(E15,D16),0)</f>
        <v>0</v>
      </c>
      <c r="F16" s="6">
        <f t="shared" si="0"/>
        <v>0</v>
      </c>
      <c r="G16" s="6">
        <f t="shared" ref="G16:G79" si="5">D16*B$3/B$6</f>
        <v>0</v>
      </c>
      <c r="H16" s="6">
        <f t="shared" ref="H16:H79" si="6">SUM(F16:G16)</f>
        <v>0</v>
      </c>
      <c r="I16" s="6">
        <f>D16-F16</f>
        <v>0</v>
      </c>
      <c r="K16">
        <v>2</v>
      </c>
      <c r="L16">
        <f t="shared" ref="L16:L79" si="7">K16*12/L$6</f>
        <v>2</v>
      </c>
      <c r="M16" s="200">
        <f t="shared" ref="M16:M79" si="8">K16/L$6</f>
        <v>0.16666666666666666</v>
      </c>
      <c r="N16" s="6">
        <f>IF(S15&gt;0,S15,0)</f>
        <v>0</v>
      </c>
      <c r="O16" s="6">
        <f>IF(N16&gt;0,MIN(O15,N16),0)</f>
        <v>0</v>
      </c>
      <c r="P16" s="6">
        <f t="shared" si="1"/>
        <v>0</v>
      </c>
      <c r="Q16" s="6">
        <f t="shared" ref="Q16:Q79" si="9">N16*L$3/L$6</f>
        <v>0</v>
      </c>
      <c r="R16" s="6">
        <f t="shared" ref="R16:R79" si="10">SUM(P16:Q16)</f>
        <v>0</v>
      </c>
      <c r="S16" s="6">
        <f>N16-P16</f>
        <v>0</v>
      </c>
      <c r="U16">
        <v>2</v>
      </c>
      <c r="V16">
        <f t="shared" ref="V16:V79" si="11">U16*12/V$6</f>
        <v>2</v>
      </c>
      <c r="W16" s="200">
        <f t="shared" ref="W16:W79" si="12">U16/V$6</f>
        <v>0.16666666666666666</v>
      </c>
      <c r="X16" s="6">
        <f>IF(AC15&gt;0,AC15,0)</f>
        <v>0</v>
      </c>
      <c r="Y16" s="6">
        <f>IF(X16&gt;0,MIN(Y15,X16),0)</f>
        <v>0</v>
      </c>
      <c r="Z16" s="6">
        <f t="shared" si="2"/>
        <v>0</v>
      </c>
      <c r="AA16" s="6">
        <f t="shared" ref="AA16:AA79" si="13">X16*V$3/V$6</f>
        <v>0</v>
      </c>
      <c r="AB16" s="6">
        <f t="shared" ref="AB16:AB79" si="14">SUM(Z16:AA16)</f>
        <v>0</v>
      </c>
      <c r="AC16" s="6">
        <f>X16-Z16</f>
        <v>0</v>
      </c>
    </row>
    <row r="17" spans="1:29" x14ac:dyDescent="0.25">
      <c r="A17">
        <v>3</v>
      </c>
      <c r="B17">
        <f t="shared" si="3"/>
        <v>3</v>
      </c>
      <c r="C17" s="200">
        <f t="shared" si="4"/>
        <v>0.25</v>
      </c>
      <c r="D17" s="6">
        <f t="shared" ref="D17:D80" si="15">IF(I16&gt;0,I16,0)</f>
        <v>0</v>
      </c>
      <c r="E17" s="6">
        <f t="shared" ref="E17:E80" si="16">IF(D17&gt;0,MIN(E16,D17),0)</f>
        <v>0</v>
      </c>
      <c r="F17" s="6">
        <f t="shared" si="0"/>
        <v>0</v>
      </c>
      <c r="G17" s="6">
        <f t="shared" si="5"/>
        <v>0</v>
      </c>
      <c r="H17" s="6">
        <f t="shared" si="6"/>
        <v>0</v>
      </c>
      <c r="I17" s="6">
        <f t="shared" ref="I17:I80" si="17">D17-F17</f>
        <v>0</v>
      </c>
      <c r="K17">
        <v>3</v>
      </c>
      <c r="L17">
        <f t="shared" si="7"/>
        <v>3</v>
      </c>
      <c r="M17" s="200">
        <f t="shared" si="8"/>
        <v>0.25</v>
      </c>
      <c r="N17" s="6">
        <f t="shared" ref="N17:N80" si="18">IF(S16&gt;0,S16,0)</f>
        <v>0</v>
      </c>
      <c r="O17" s="6">
        <f t="shared" ref="O17:O80" si="19">IF(N17&gt;0,MIN(O16,N17),0)</f>
        <v>0</v>
      </c>
      <c r="P17" s="6">
        <f t="shared" si="1"/>
        <v>0</v>
      </c>
      <c r="Q17" s="6">
        <f t="shared" si="9"/>
        <v>0</v>
      </c>
      <c r="R17" s="6">
        <f t="shared" si="10"/>
        <v>0</v>
      </c>
      <c r="S17" s="6">
        <f t="shared" ref="S17:S80" si="20">N17-P17</f>
        <v>0</v>
      </c>
      <c r="U17">
        <v>3</v>
      </c>
      <c r="V17">
        <f t="shared" si="11"/>
        <v>3</v>
      </c>
      <c r="W17" s="200">
        <f t="shared" si="12"/>
        <v>0.25</v>
      </c>
      <c r="X17" s="6">
        <f t="shared" ref="X17:X80" si="21">IF(AC16&gt;0,AC16,0)</f>
        <v>0</v>
      </c>
      <c r="Y17" s="6">
        <f t="shared" ref="Y17:Y80" si="22">IF(X17&gt;0,MIN(Y16,X17),0)</f>
        <v>0</v>
      </c>
      <c r="Z17" s="6">
        <f t="shared" si="2"/>
        <v>0</v>
      </c>
      <c r="AA17" s="6">
        <f t="shared" si="13"/>
        <v>0</v>
      </c>
      <c r="AB17" s="6">
        <f t="shared" si="14"/>
        <v>0</v>
      </c>
      <c r="AC17" s="6">
        <f t="shared" ref="AC17:AC80" si="23">X17-Z17</f>
        <v>0</v>
      </c>
    </row>
    <row r="18" spans="1:29" x14ac:dyDescent="0.25">
      <c r="A18">
        <v>4</v>
      </c>
      <c r="B18">
        <f t="shared" si="3"/>
        <v>4</v>
      </c>
      <c r="C18" s="200">
        <f t="shared" si="4"/>
        <v>0.33333333333333331</v>
      </c>
      <c r="D18" s="6">
        <f t="shared" si="15"/>
        <v>0</v>
      </c>
      <c r="E18" s="6">
        <f t="shared" si="16"/>
        <v>0</v>
      </c>
      <c r="F18" s="6">
        <f t="shared" si="0"/>
        <v>0</v>
      </c>
      <c r="G18" s="6">
        <f t="shared" si="5"/>
        <v>0</v>
      </c>
      <c r="H18" s="6">
        <f t="shared" si="6"/>
        <v>0</v>
      </c>
      <c r="I18" s="6">
        <f t="shared" si="17"/>
        <v>0</v>
      </c>
      <c r="K18">
        <v>4</v>
      </c>
      <c r="L18">
        <f t="shared" si="7"/>
        <v>4</v>
      </c>
      <c r="M18" s="200">
        <f t="shared" si="8"/>
        <v>0.33333333333333331</v>
      </c>
      <c r="N18" s="6">
        <f t="shared" si="18"/>
        <v>0</v>
      </c>
      <c r="O18" s="6">
        <f t="shared" si="19"/>
        <v>0</v>
      </c>
      <c r="P18" s="6">
        <f t="shared" si="1"/>
        <v>0</v>
      </c>
      <c r="Q18" s="6">
        <f t="shared" si="9"/>
        <v>0</v>
      </c>
      <c r="R18" s="6">
        <f t="shared" si="10"/>
        <v>0</v>
      </c>
      <c r="S18" s="6">
        <f t="shared" si="20"/>
        <v>0</v>
      </c>
      <c r="U18">
        <v>4</v>
      </c>
      <c r="V18">
        <f t="shared" si="11"/>
        <v>4</v>
      </c>
      <c r="W18" s="200">
        <f t="shared" si="12"/>
        <v>0.33333333333333331</v>
      </c>
      <c r="X18" s="6">
        <f t="shared" si="21"/>
        <v>0</v>
      </c>
      <c r="Y18" s="6">
        <f t="shared" si="22"/>
        <v>0</v>
      </c>
      <c r="Z18" s="6">
        <f t="shared" si="2"/>
        <v>0</v>
      </c>
      <c r="AA18" s="6">
        <f t="shared" si="13"/>
        <v>0</v>
      </c>
      <c r="AB18" s="6">
        <f t="shared" si="14"/>
        <v>0</v>
      </c>
      <c r="AC18" s="6">
        <f t="shared" si="23"/>
        <v>0</v>
      </c>
    </row>
    <row r="19" spans="1:29" x14ac:dyDescent="0.25">
      <c r="A19">
        <v>5</v>
      </c>
      <c r="B19">
        <f t="shared" si="3"/>
        <v>5</v>
      </c>
      <c r="C19" s="200">
        <f t="shared" si="4"/>
        <v>0.41666666666666669</v>
      </c>
      <c r="D19" s="6">
        <f t="shared" si="15"/>
        <v>0</v>
      </c>
      <c r="E19" s="6">
        <f t="shared" si="16"/>
        <v>0</v>
      </c>
      <c r="F19" s="6">
        <f t="shared" si="0"/>
        <v>0</v>
      </c>
      <c r="G19" s="6">
        <f t="shared" si="5"/>
        <v>0</v>
      </c>
      <c r="H19" s="6">
        <f t="shared" si="6"/>
        <v>0</v>
      </c>
      <c r="I19" s="6">
        <f t="shared" si="17"/>
        <v>0</v>
      </c>
      <c r="K19">
        <v>5</v>
      </c>
      <c r="L19">
        <f t="shared" si="7"/>
        <v>5</v>
      </c>
      <c r="M19" s="200">
        <f t="shared" si="8"/>
        <v>0.41666666666666669</v>
      </c>
      <c r="N19" s="6">
        <f t="shared" si="18"/>
        <v>0</v>
      </c>
      <c r="O19" s="6">
        <f t="shared" si="19"/>
        <v>0</v>
      </c>
      <c r="P19" s="6">
        <f t="shared" si="1"/>
        <v>0</v>
      </c>
      <c r="Q19" s="6">
        <f t="shared" si="9"/>
        <v>0</v>
      </c>
      <c r="R19" s="6">
        <f t="shared" si="10"/>
        <v>0</v>
      </c>
      <c r="S19" s="6">
        <f t="shared" si="20"/>
        <v>0</v>
      </c>
      <c r="U19">
        <v>5</v>
      </c>
      <c r="V19">
        <f t="shared" si="11"/>
        <v>5</v>
      </c>
      <c r="W19" s="200">
        <f t="shared" si="12"/>
        <v>0.41666666666666669</v>
      </c>
      <c r="X19" s="6">
        <f t="shared" si="21"/>
        <v>0</v>
      </c>
      <c r="Y19" s="6">
        <f t="shared" si="22"/>
        <v>0</v>
      </c>
      <c r="Z19" s="6">
        <f t="shared" si="2"/>
        <v>0</v>
      </c>
      <c r="AA19" s="6">
        <f t="shared" si="13"/>
        <v>0</v>
      </c>
      <c r="AB19" s="6">
        <f t="shared" si="14"/>
        <v>0</v>
      </c>
      <c r="AC19" s="6">
        <f t="shared" si="23"/>
        <v>0</v>
      </c>
    </row>
    <row r="20" spans="1:29" x14ac:dyDescent="0.25">
      <c r="A20">
        <v>6</v>
      </c>
      <c r="B20">
        <f t="shared" si="3"/>
        <v>6</v>
      </c>
      <c r="C20" s="200">
        <f t="shared" si="4"/>
        <v>0.5</v>
      </c>
      <c r="D20" s="6">
        <f t="shared" si="15"/>
        <v>0</v>
      </c>
      <c r="E20" s="6">
        <f t="shared" si="16"/>
        <v>0</v>
      </c>
      <c r="F20" s="6">
        <f t="shared" si="0"/>
        <v>0</v>
      </c>
      <c r="G20" s="6">
        <f t="shared" si="5"/>
        <v>0</v>
      </c>
      <c r="H20" s="6">
        <f t="shared" si="6"/>
        <v>0</v>
      </c>
      <c r="I20" s="6">
        <f t="shared" si="17"/>
        <v>0</v>
      </c>
      <c r="K20">
        <v>6</v>
      </c>
      <c r="L20">
        <f t="shared" si="7"/>
        <v>6</v>
      </c>
      <c r="M20" s="200">
        <f t="shared" si="8"/>
        <v>0.5</v>
      </c>
      <c r="N20" s="6">
        <f t="shared" si="18"/>
        <v>0</v>
      </c>
      <c r="O20" s="6">
        <f t="shared" si="19"/>
        <v>0</v>
      </c>
      <c r="P20" s="6">
        <f t="shared" si="1"/>
        <v>0</v>
      </c>
      <c r="Q20" s="6">
        <f t="shared" si="9"/>
        <v>0</v>
      </c>
      <c r="R20" s="6">
        <f t="shared" si="10"/>
        <v>0</v>
      </c>
      <c r="S20" s="6">
        <f t="shared" si="20"/>
        <v>0</v>
      </c>
      <c r="U20">
        <v>6</v>
      </c>
      <c r="V20">
        <f t="shared" si="11"/>
        <v>6</v>
      </c>
      <c r="W20" s="200">
        <f t="shared" si="12"/>
        <v>0.5</v>
      </c>
      <c r="X20" s="6">
        <f t="shared" si="21"/>
        <v>0</v>
      </c>
      <c r="Y20" s="6">
        <f t="shared" si="22"/>
        <v>0</v>
      </c>
      <c r="Z20" s="6">
        <f t="shared" si="2"/>
        <v>0</v>
      </c>
      <c r="AA20" s="6">
        <f t="shared" si="13"/>
        <v>0</v>
      </c>
      <c r="AB20" s="6">
        <f t="shared" si="14"/>
        <v>0</v>
      </c>
      <c r="AC20" s="6">
        <f t="shared" si="23"/>
        <v>0</v>
      </c>
    </row>
    <row r="21" spans="1:29" x14ac:dyDescent="0.25">
      <c r="A21">
        <v>7</v>
      </c>
      <c r="B21">
        <f t="shared" si="3"/>
        <v>7</v>
      </c>
      <c r="C21" s="200">
        <f t="shared" si="4"/>
        <v>0.58333333333333337</v>
      </c>
      <c r="D21" s="6">
        <f t="shared" si="15"/>
        <v>0</v>
      </c>
      <c r="E21" s="6">
        <f t="shared" si="16"/>
        <v>0</v>
      </c>
      <c r="F21" s="6">
        <f t="shared" si="0"/>
        <v>0</v>
      </c>
      <c r="G21" s="6">
        <f t="shared" si="5"/>
        <v>0</v>
      </c>
      <c r="H21" s="6">
        <f t="shared" si="6"/>
        <v>0</v>
      </c>
      <c r="I21" s="6">
        <f t="shared" si="17"/>
        <v>0</v>
      </c>
      <c r="K21">
        <v>7</v>
      </c>
      <c r="L21">
        <f t="shared" si="7"/>
        <v>7</v>
      </c>
      <c r="M21" s="200">
        <f t="shared" si="8"/>
        <v>0.58333333333333337</v>
      </c>
      <c r="N21" s="6">
        <f t="shared" si="18"/>
        <v>0</v>
      </c>
      <c r="O21" s="6">
        <f t="shared" si="19"/>
        <v>0</v>
      </c>
      <c r="P21" s="6">
        <f t="shared" si="1"/>
        <v>0</v>
      </c>
      <c r="Q21" s="6">
        <f t="shared" si="9"/>
        <v>0</v>
      </c>
      <c r="R21" s="6">
        <f t="shared" si="10"/>
        <v>0</v>
      </c>
      <c r="S21" s="6">
        <f t="shared" si="20"/>
        <v>0</v>
      </c>
      <c r="U21">
        <v>7</v>
      </c>
      <c r="V21">
        <f t="shared" si="11"/>
        <v>7</v>
      </c>
      <c r="W21" s="200">
        <f t="shared" si="12"/>
        <v>0.58333333333333337</v>
      </c>
      <c r="X21" s="6">
        <f t="shared" si="21"/>
        <v>0</v>
      </c>
      <c r="Y21" s="6">
        <f t="shared" si="22"/>
        <v>0</v>
      </c>
      <c r="Z21" s="6">
        <f t="shared" si="2"/>
        <v>0</v>
      </c>
      <c r="AA21" s="6">
        <f t="shared" si="13"/>
        <v>0</v>
      </c>
      <c r="AB21" s="6">
        <f t="shared" si="14"/>
        <v>0</v>
      </c>
      <c r="AC21" s="6">
        <f t="shared" si="23"/>
        <v>0</v>
      </c>
    </row>
    <row r="22" spans="1:29" x14ac:dyDescent="0.25">
      <c r="A22">
        <v>8</v>
      </c>
      <c r="B22">
        <f t="shared" si="3"/>
        <v>8</v>
      </c>
      <c r="C22" s="200">
        <f t="shared" si="4"/>
        <v>0.66666666666666663</v>
      </c>
      <c r="D22" s="6">
        <f t="shared" si="15"/>
        <v>0</v>
      </c>
      <c r="E22" s="6">
        <f t="shared" si="16"/>
        <v>0</v>
      </c>
      <c r="F22" s="6">
        <f t="shared" si="0"/>
        <v>0</v>
      </c>
      <c r="G22" s="6">
        <f t="shared" si="5"/>
        <v>0</v>
      </c>
      <c r="H22" s="6">
        <f t="shared" si="6"/>
        <v>0</v>
      </c>
      <c r="I22" s="6">
        <f t="shared" si="17"/>
        <v>0</v>
      </c>
      <c r="K22">
        <v>8</v>
      </c>
      <c r="L22">
        <f t="shared" si="7"/>
        <v>8</v>
      </c>
      <c r="M22" s="200">
        <f t="shared" si="8"/>
        <v>0.66666666666666663</v>
      </c>
      <c r="N22" s="6">
        <f t="shared" si="18"/>
        <v>0</v>
      </c>
      <c r="O22" s="6">
        <f t="shared" si="19"/>
        <v>0</v>
      </c>
      <c r="P22" s="6">
        <f t="shared" si="1"/>
        <v>0</v>
      </c>
      <c r="Q22" s="6">
        <f t="shared" si="9"/>
        <v>0</v>
      </c>
      <c r="R22" s="6">
        <f t="shared" si="10"/>
        <v>0</v>
      </c>
      <c r="S22" s="6">
        <f t="shared" si="20"/>
        <v>0</v>
      </c>
      <c r="U22">
        <v>8</v>
      </c>
      <c r="V22">
        <f t="shared" si="11"/>
        <v>8</v>
      </c>
      <c r="W22" s="200">
        <f t="shared" si="12"/>
        <v>0.66666666666666663</v>
      </c>
      <c r="X22" s="6">
        <f t="shared" si="21"/>
        <v>0</v>
      </c>
      <c r="Y22" s="6">
        <f t="shared" si="22"/>
        <v>0</v>
      </c>
      <c r="Z22" s="6">
        <f t="shared" si="2"/>
        <v>0</v>
      </c>
      <c r="AA22" s="6">
        <f t="shared" si="13"/>
        <v>0</v>
      </c>
      <c r="AB22" s="6">
        <f t="shared" si="14"/>
        <v>0</v>
      </c>
      <c r="AC22" s="6">
        <f t="shared" si="23"/>
        <v>0</v>
      </c>
    </row>
    <row r="23" spans="1:29" x14ac:dyDescent="0.25">
      <c r="A23">
        <v>9</v>
      </c>
      <c r="B23">
        <f t="shared" si="3"/>
        <v>9</v>
      </c>
      <c r="C23" s="200">
        <f t="shared" si="4"/>
        <v>0.75</v>
      </c>
      <c r="D23" s="6">
        <f t="shared" si="15"/>
        <v>0</v>
      </c>
      <c r="E23" s="6">
        <f t="shared" si="16"/>
        <v>0</v>
      </c>
      <c r="F23" s="6">
        <f t="shared" si="0"/>
        <v>0</v>
      </c>
      <c r="G23" s="6">
        <f t="shared" si="5"/>
        <v>0</v>
      </c>
      <c r="H23" s="6">
        <f t="shared" si="6"/>
        <v>0</v>
      </c>
      <c r="I23" s="6">
        <f t="shared" si="17"/>
        <v>0</v>
      </c>
      <c r="K23">
        <v>9</v>
      </c>
      <c r="L23">
        <f t="shared" si="7"/>
        <v>9</v>
      </c>
      <c r="M23" s="200">
        <f t="shared" si="8"/>
        <v>0.75</v>
      </c>
      <c r="N23" s="6">
        <f t="shared" si="18"/>
        <v>0</v>
      </c>
      <c r="O23" s="6">
        <f t="shared" si="19"/>
        <v>0</v>
      </c>
      <c r="P23" s="6">
        <f t="shared" si="1"/>
        <v>0</v>
      </c>
      <c r="Q23" s="6">
        <f t="shared" si="9"/>
        <v>0</v>
      </c>
      <c r="R23" s="6">
        <f t="shared" si="10"/>
        <v>0</v>
      </c>
      <c r="S23" s="6">
        <f t="shared" si="20"/>
        <v>0</v>
      </c>
      <c r="U23">
        <v>9</v>
      </c>
      <c r="V23">
        <f t="shared" si="11"/>
        <v>9</v>
      </c>
      <c r="W23" s="200">
        <f t="shared" si="12"/>
        <v>0.75</v>
      </c>
      <c r="X23" s="6">
        <f t="shared" si="21"/>
        <v>0</v>
      </c>
      <c r="Y23" s="6">
        <f t="shared" si="22"/>
        <v>0</v>
      </c>
      <c r="Z23" s="6">
        <f t="shared" si="2"/>
        <v>0</v>
      </c>
      <c r="AA23" s="6">
        <f t="shared" si="13"/>
        <v>0</v>
      </c>
      <c r="AB23" s="6">
        <f t="shared" si="14"/>
        <v>0</v>
      </c>
      <c r="AC23" s="6">
        <f t="shared" si="23"/>
        <v>0</v>
      </c>
    </row>
    <row r="24" spans="1:29" x14ac:dyDescent="0.25">
      <c r="A24">
        <v>10</v>
      </c>
      <c r="B24">
        <f t="shared" si="3"/>
        <v>10</v>
      </c>
      <c r="C24" s="200">
        <f t="shared" si="4"/>
        <v>0.83333333333333337</v>
      </c>
      <c r="D24" s="6">
        <f t="shared" si="15"/>
        <v>0</v>
      </c>
      <c r="E24" s="6">
        <f t="shared" si="16"/>
        <v>0</v>
      </c>
      <c r="F24" s="6">
        <f t="shared" si="0"/>
        <v>0</v>
      </c>
      <c r="G24" s="6">
        <f t="shared" si="5"/>
        <v>0</v>
      </c>
      <c r="H24" s="6">
        <f t="shared" si="6"/>
        <v>0</v>
      </c>
      <c r="I24" s="6">
        <f t="shared" si="17"/>
        <v>0</v>
      </c>
      <c r="K24">
        <v>10</v>
      </c>
      <c r="L24">
        <f t="shared" si="7"/>
        <v>10</v>
      </c>
      <c r="M24" s="200">
        <f t="shared" si="8"/>
        <v>0.83333333333333337</v>
      </c>
      <c r="N24" s="6">
        <f t="shared" si="18"/>
        <v>0</v>
      </c>
      <c r="O24" s="6">
        <f t="shared" si="19"/>
        <v>0</v>
      </c>
      <c r="P24" s="6">
        <f t="shared" si="1"/>
        <v>0</v>
      </c>
      <c r="Q24" s="6">
        <f t="shared" si="9"/>
        <v>0</v>
      </c>
      <c r="R24" s="6">
        <f t="shared" si="10"/>
        <v>0</v>
      </c>
      <c r="S24" s="6">
        <f t="shared" si="20"/>
        <v>0</v>
      </c>
      <c r="U24">
        <v>10</v>
      </c>
      <c r="V24">
        <f t="shared" si="11"/>
        <v>10</v>
      </c>
      <c r="W24" s="200">
        <f t="shared" si="12"/>
        <v>0.83333333333333337</v>
      </c>
      <c r="X24" s="6">
        <f t="shared" si="21"/>
        <v>0</v>
      </c>
      <c r="Y24" s="6">
        <f t="shared" si="22"/>
        <v>0</v>
      </c>
      <c r="Z24" s="6">
        <f t="shared" si="2"/>
        <v>0</v>
      </c>
      <c r="AA24" s="6">
        <f t="shared" si="13"/>
        <v>0</v>
      </c>
      <c r="AB24" s="6">
        <f t="shared" si="14"/>
        <v>0</v>
      </c>
      <c r="AC24" s="6">
        <f t="shared" si="23"/>
        <v>0</v>
      </c>
    </row>
    <row r="25" spans="1:29" x14ac:dyDescent="0.25">
      <c r="A25">
        <v>11</v>
      </c>
      <c r="B25">
        <f t="shared" si="3"/>
        <v>11</v>
      </c>
      <c r="C25" s="200">
        <f t="shared" si="4"/>
        <v>0.91666666666666663</v>
      </c>
      <c r="D25" s="6">
        <f t="shared" si="15"/>
        <v>0</v>
      </c>
      <c r="E25" s="6">
        <f t="shared" si="16"/>
        <v>0</v>
      </c>
      <c r="F25" s="6">
        <f t="shared" si="0"/>
        <v>0</v>
      </c>
      <c r="G25" s="6">
        <f t="shared" si="5"/>
        <v>0</v>
      </c>
      <c r="H25" s="6">
        <f t="shared" si="6"/>
        <v>0</v>
      </c>
      <c r="I25" s="6">
        <f t="shared" si="17"/>
        <v>0</v>
      </c>
      <c r="K25">
        <v>11</v>
      </c>
      <c r="L25">
        <f t="shared" si="7"/>
        <v>11</v>
      </c>
      <c r="M25" s="200">
        <f t="shared" si="8"/>
        <v>0.91666666666666663</v>
      </c>
      <c r="N25" s="6">
        <f t="shared" si="18"/>
        <v>0</v>
      </c>
      <c r="O25" s="6">
        <f t="shared" si="19"/>
        <v>0</v>
      </c>
      <c r="P25" s="6">
        <f t="shared" si="1"/>
        <v>0</v>
      </c>
      <c r="Q25" s="6">
        <f t="shared" si="9"/>
        <v>0</v>
      </c>
      <c r="R25" s="6">
        <f t="shared" si="10"/>
        <v>0</v>
      </c>
      <c r="S25" s="6">
        <f t="shared" si="20"/>
        <v>0</v>
      </c>
      <c r="U25">
        <v>11</v>
      </c>
      <c r="V25">
        <f t="shared" si="11"/>
        <v>11</v>
      </c>
      <c r="W25" s="200">
        <f t="shared" si="12"/>
        <v>0.91666666666666663</v>
      </c>
      <c r="X25" s="6">
        <f t="shared" si="21"/>
        <v>0</v>
      </c>
      <c r="Y25" s="6">
        <f t="shared" si="22"/>
        <v>0</v>
      </c>
      <c r="Z25" s="6">
        <f t="shared" si="2"/>
        <v>0</v>
      </c>
      <c r="AA25" s="6">
        <f t="shared" si="13"/>
        <v>0</v>
      </c>
      <c r="AB25" s="6">
        <f t="shared" si="14"/>
        <v>0</v>
      </c>
      <c r="AC25" s="6">
        <f t="shared" si="23"/>
        <v>0</v>
      </c>
    </row>
    <row r="26" spans="1:29" x14ac:dyDescent="0.25">
      <c r="A26">
        <v>12</v>
      </c>
      <c r="B26">
        <f t="shared" si="3"/>
        <v>12</v>
      </c>
      <c r="C26" s="200">
        <f t="shared" si="4"/>
        <v>1</v>
      </c>
      <c r="D26" s="6">
        <f t="shared" si="15"/>
        <v>0</v>
      </c>
      <c r="E26" s="6">
        <f t="shared" si="16"/>
        <v>0</v>
      </c>
      <c r="F26" s="6">
        <f t="shared" si="0"/>
        <v>0</v>
      </c>
      <c r="G26" s="6">
        <f t="shared" si="5"/>
        <v>0</v>
      </c>
      <c r="H26" s="6">
        <f t="shared" si="6"/>
        <v>0</v>
      </c>
      <c r="I26" s="6">
        <f t="shared" si="17"/>
        <v>0</v>
      </c>
      <c r="K26">
        <v>12</v>
      </c>
      <c r="L26">
        <f t="shared" si="7"/>
        <v>12</v>
      </c>
      <c r="M26" s="200">
        <f t="shared" si="8"/>
        <v>1</v>
      </c>
      <c r="N26" s="6">
        <f t="shared" si="18"/>
        <v>0</v>
      </c>
      <c r="O26" s="6">
        <f t="shared" si="19"/>
        <v>0</v>
      </c>
      <c r="P26" s="6">
        <f t="shared" si="1"/>
        <v>0</v>
      </c>
      <c r="Q26" s="6">
        <f t="shared" si="9"/>
        <v>0</v>
      </c>
      <c r="R26" s="6">
        <f t="shared" si="10"/>
        <v>0</v>
      </c>
      <c r="S26" s="6">
        <f t="shared" si="20"/>
        <v>0</v>
      </c>
      <c r="U26">
        <v>12</v>
      </c>
      <c r="V26">
        <f t="shared" si="11"/>
        <v>12</v>
      </c>
      <c r="W26" s="200">
        <f t="shared" si="12"/>
        <v>1</v>
      </c>
      <c r="X26" s="6">
        <f t="shared" si="21"/>
        <v>0</v>
      </c>
      <c r="Y26" s="6">
        <f t="shared" si="22"/>
        <v>0</v>
      </c>
      <c r="Z26" s="6">
        <f t="shared" si="2"/>
        <v>0</v>
      </c>
      <c r="AA26" s="6">
        <f t="shared" si="13"/>
        <v>0</v>
      </c>
      <c r="AB26" s="6">
        <f t="shared" si="14"/>
        <v>0</v>
      </c>
      <c r="AC26" s="6">
        <f t="shared" si="23"/>
        <v>0</v>
      </c>
    </row>
    <row r="27" spans="1:29" x14ac:dyDescent="0.25">
      <c r="A27">
        <v>13</v>
      </c>
      <c r="B27">
        <f t="shared" si="3"/>
        <v>13</v>
      </c>
      <c r="C27" s="200">
        <f t="shared" si="4"/>
        <v>1.0833333333333333</v>
      </c>
      <c r="D27" s="6">
        <f t="shared" si="15"/>
        <v>0</v>
      </c>
      <c r="E27" s="6">
        <f t="shared" si="16"/>
        <v>0</v>
      </c>
      <c r="F27" s="6">
        <f t="shared" si="0"/>
        <v>0</v>
      </c>
      <c r="G27" s="6">
        <f t="shared" si="5"/>
        <v>0</v>
      </c>
      <c r="H27" s="6">
        <f t="shared" si="6"/>
        <v>0</v>
      </c>
      <c r="I27" s="6">
        <f t="shared" si="17"/>
        <v>0</v>
      </c>
      <c r="K27">
        <v>13</v>
      </c>
      <c r="L27">
        <f t="shared" si="7"/>
        <v>13</v>
      </c>
      <c r="M27" s="200">
        <f t="shared" si="8"/>
        <v>1.0833333333333333</v>
      </c>
      <c r="N27" s="6">
        <f t="shared" si="18"/>
        <v>0</v>
      </c>
      <c r="O27" s="6">
        <f t="shared" si="19"/>
        <v>0</v>
      </c>
      <c r="P27" s="6">
        <f t="shared" si="1"/>
        <v>0</v>
      </c>
      <c r="Q27" s="6">
        <f t="shared" si="9"/>
        <v>0</v>
      </c>
      <c r="R27" s="6">
        <f t="shared" si="10"/>
        <v>0</v>
      </c>
      <c r="S27" s="6">
        <f t="shared" si="20"/>
        <v>0</v>
      </c>
      <c r="U27">
        <v>13</v>
      </c>
      <c r="V27">
        <f t="shared" si="11"/>
        <v>13</v>
      </c>
      <c r="W27" s="200">
        <f t="shared" si="12"/>
        <v>1.0833333333333333</v>
      </c>
      <c r="X27" s="6">
        <f t="shared" si="21"/>
        <v>0</v>
      </c>
      <c r="Y27" s="6">
        <f t="shared" si="22"/>
        <v>0</v>
      </c>
      <c r="Z27" s="6">
        <f t="shared" si="2"/>
        <v>0</v>
      </c>
      <c r="AA27" s="6">
        <f t="shared" si="13"/>
        <v>0</v>
      </c>
      <c r="AB27" s="6">
        <f t="shared" si="14"/>
        <v>0</v>
      </c>
      <c r="AC27" s="6">
        <f t="shared" si="23"/>
        <v>0</v>
      </c>
    </row>
    <row r="28" spans="1:29" x14ac:dyDescent="0.25">
      <c r="A28">
        <v>14</v>
      </c>
      <c r="B28">
        <f t="shared" si="3"/>
        <v>14</v>
      </c>
      <c r="C28" s="200">
        <f t="shared" si="4"/>
        <v>1.1666666666666667</v>
      </c>
      <c r="D28" s="6">
        <f t="shared" si="15"/>
        <v>0</v>
      </c>
      <c r="E28" s="6">
        <f t="shared" si="16"/>
        <v>0</v>
      </c>
      <c r="F28" s="6">
        <f t="shared" si="0"/>
        <v>0</v>
      </c>
      <c r="G28" s="6">
        <f t="shared" si="5"/>
        <v>0</v>
      </c>
      <c r="H28" s="6">
        <f t="shared" si="6"/>
        <v>0</v>
      </c>
      <c r="I28" s="6">
        <f t="shared" si="17"/>
        <v>0</v>
      </c>
      <c r="K28">
        <v>14</v>
      </c>
      <c r="L28">
        <f t="shared" si="7"/>
        <v>14</v>
      </c>
      <c r="M28" s="200">
        <f t="shared" si="8"/>
        <v>1.1666666666666667</v>
      </c>
      <c r="N28" s="6">
        <f t="shared" si="18"/>
        <v>0</v>
      </c>
      <c r="O28" s="6">
        <f t="shared" si="19"/>
        <v>0</v>
      </c>
      <c r="P28" s="6">
        <f t="shared" si="1"/>
        <v>0</v>
      </c>
      <c r="Q28" s="6">
        <f t="shared" si="9"/>
        <v>0</v>
      </c>
      <c r="R28" s="6">
        <f t="shared" si="10"/>
        <v>0</v>
      </c>
      <c r="S28" s="6">
        <f t="shared" si="20"/>
        <v>0</v>
      </c>
      <c r="U28">
        <v>14</v>
      </c>
      <c r="V28">
        <f t="shared" si="11"/>
        <v>14</v>
      </c>
      <c r="W28" s="200">
        <f t="shared" si="12"/>
        <v>1.1666666666666667</v>
      </c>
      <c r="X28" s="6">
        <f t="shared" si="21"/>
        <v>0</v>
      </c>
      <c r="Y28" s="6">
        <f t="shared" si="22"/>
        <v>0</v>
      </c>
      <c r="Z28" s="6">
        <f t="shared" si="2"/>
        <v>0</v>
      </c>
      <c r="AA28" s="6">
        <f t="shared" si="13"/>
        <v>0</v>
      </c>
      <c r="AB28" s="6">
        <f t="shared" si="14"/>
        <v>0</v>
      </c>
      <c r="AC28" s="6">
        <f t="shared" si="23"/>
        <v>0</v>
      </c>
    </row>
    <row r="29" spans="1:29" x14ac:dyDescent="0.25">
      <c r="A29">
        <v>15</v>
      </c>
      <c r="B29">
        <f t="shared" si="3"/>
        <v>15</v>
      </c>
      <c r="C29" s="200">
        <f t="shared" si="4"/>
        <v>1.25</v>
      </c>
      <c r="D29" s="6">
        <f t="shared" si="15"/>
        <v>0</v>
      </c>
      <c r="E29" s="6">
        <f t="shared" si="16"/>
        <v>0</v>
      </c>
      <c r="F29" s="6">
        <f t="shared" si="0"/>
        <v>0</v>
      </c>
      <c r="G29" s="6">
        <f t="shared" si="5"/>
        <v>0</v>
      </c>
      <c r="H29" s="6">
        <f t="shared" si="6"/>
        <v>0</v>
      </c>
      <c r="I29" s="6">
        <f t="shared" si="17"/>
        <v>0</v>
      </c>
      <c r="K29">
        <v>15</v>
      </c>
      <c r="L29">
        <f t="shared" si="7"/>
        <v>15</v>
      </c>
      <c r="M29" s="200">
        <f t="shared" si="8"/>
        <v>1.25</v>
      </c>
      <c r="N29" s="6">
        <f t="shared" si="18"/>
        <v>0</v>
      </c>
      <c r="O29" s="6">
        <f t="shared" si="19"/>
        <v>0</v>
      </c>
      <c r="P29" s="6">
        <f t="shared" si="1"/>
        <v>0</v>
      </c>
      <c r="Q29" s="6">
        <f t="shared" si="9"/>
        <v>0</v>
      </c>
      <c r="R29" s="6">
        <f t="shared" si="10"/>
        <v>0</v>
      </c>
      <c r="S29" s="6">
        <f t="shared" si="20"/>
        <v>0</v>
      </c>
      <c r="U29">
        <v>15</v>
      </c>
      <c r="V29">
        <f t="shared" si="11"/>
        <v>15</v>
      </c>
      <c r="W29" s="200">
        <f t="shared" si="12"/>
        <v>1.25</v>
      </c>
      <c r="X29" s="6">
        <f t="shared" si="21"/>
        <v>0</v>
      </c>
      <c r="Y29" s="6">
        <f t="shared" si="22"/>
        <v>0</v>
      </c>
      <c r="Z29" s="6">
        <f t="shared" si="2"/>
        <v>0</v>
      </c>
      <c r="AA29" s="6">
        <f t="shared" si="13"/>
        <v>0</v>
      </c>
      <c r="AB29" s="6">
        <f t="shared" si="14"/>
        <v>0</v>
      </c>
      <c r="AC29" s="6">
        <f t="shared" si="23"/>
        <v>0</v>
      </c>
    </row>
    <row r="30" spans="1:29" x14ac:dyDescent="0.25">
      <c r="A30">
        <v>16</v>
      </c>
      <c r="B30">
        <f t="shared" si="3"/>
        <v>16</v>
      </c>
      <c r="C30" s="200">
        <f t="shared" si="4"/>
        <v>1.3333333333333333</v>
      </c>
      <c r="D30" s="6">
        <f t="shared" si="15"/>
        <v>0</v>
      </c>
      <c r="E30" s="6">
        <f t="shared" si="16"/>
        <v>0</v>
      </c>
      <c r="F30" s="6">
        <f t="shared" si="0"/>
        <v>0</v>
      </c>
      <c r="G30" s="6">
        <f t="shared" si="5"/>
        <v>0</v>
      </c>
      <c r="H30" s="6">
        <f t="shared" si="6"/>
        <v>0</v>
      </c>
      <c r="I30" s="6">
        <f t="shared" si="17"/>
        <v>0</v>
      </c>
      <c r="K30">
        <v>16</v>
      </c>
      <c r="L30">
        <f t="shared" si="7"/>
        <v>16</v>
      </c>
      <c r="M30" s="200">
        <f t="shared" si="8"/>
        <v>1.3333333333333333</v>
      </c>
      <c r="N30" s="6">
        <f t="shared" si="18"/>
        <v>0</v>
      </c>
      <c r="O30" s="6">
        <f t="shared" si="19"/>
        <v>0</v>
      </c>
      <c r="P30" s="6">
        <f t="shared" si="1"/>
        <v>0</v>
      </c>
      <c r="Q30" s="6">
        <f t="shared" si="9"/>
        <v>0</v>
      </c>
      <c r="R30" s="6">
        <f t="shared" si="10"/>
        <v>0</v>
      </c>
      <c r="S30" s="6">
        <f t="shared" si="20"/>
        <v>0</v>
      </c>
      <c r="U30">
        <v>16</v>
      </c>
      <c r="V30">
        <f t="shared" si="11"/>
        <v>16</v>
      </c>
      <c r="W30" s="200">
        <f t="shared" si="12"/>
        <v>1.3333333333333333</v>
      </c>
      <c r="X30" s="6">
        <f t="shared" si="21"/>
        <v>0</v>
      </c>
      <c r="Y30" s="6">
        <f t="shared" si="22"/>
        <v>0</v>
      </c>
      <c r="Z30" s="6">
        <f t="shared" si="2"/>
        <v>0</v>
      </c>
      <c r="AA30" s="6">
        <f t="shared" si="13"/>
        <v>0</v>
      </c>
      <c r="AB30" s="6">
        <f t="shared" si="14"/>
        <v>0</v>
      </c>
      <c r="AC30" s="6">
        <f t="shared" si="23"/>
        <v>0</v>
      </c>
    </row>
    <row r="31" spans="1:29" x14ac:dyDescent="0.25">
      <c r="A31">
        <v>17</v>
      </c>
      <c r="B31">
        <f t="shared" si="3"/>
        <v>17</v>
      </c>
      <c r="C31" s="200">
        <f t="shared" si="4"/>
        <v>1.4166666666666667</v>
      </c>
      <c r="D31" s="6">
        <f t="shared" si="15"/>
        <v>0</v>
      </c>
      <c r="E31" s="6">
        <f t="shared" si="16"/>
        <v>0</v>
      </c>
      <c r="F31" s="6">
        <f t="shared" si="0"/>
        <v>0</v>
      </c>
      <c r="G31" s="6">
        <f t="shared" si="5"/>
        <v>0</v>
      </c>
      <c r="H31" s="6">
        <f t="shared" si="6"/>
        <v>0</v>
      </c>
      <c r="I31" s="6">
        <f t="shared" si="17"/>
        <v>0</v>
      </c>
      <c r="K31">
        <v>17</v>
      </c>
      <c r="L31">
        <f t="shared" si="7"/>
        <v>17</v>
      </c>
      <c r="M31" s="200">
        <f t="shared" si="8"/>
        <v>1.4166666666666667</v>
      </c>
      <c r="N31" s="6">
        <f t="shared" si="18"/>
        <v>0</v>
      </c>
      <c r="O31" s="6">
        <f t="shared" si="19"/>
        <v>0</v>
      </c>
      <c r="P31" s="6">
        <f t="shared" si="1"/>
        <v>0</v>
      </c>
      <c r="Q31" s="6">
        <f t="shared" si="9"/>
        <v>0</v>
      </c>
      <c r="R31" s="6">
        <f t="shared" si="10"/>
        <v>0</v>
      </c>
      <c r="S31" s="6">
        <f t="shared" si="20"/>
        <v>0</v>
      </c>
      <c r="U31">
        <v>17</v>
      </c>
      <c r="V31">
        <f t="shared" si="11"/>
        <v>17</v>
      </c>
      <c r="W31" s="200">
        <f t="shared" si="12"/>
        <v>1.4166666666666667</v>
      </c>
      <c r="X31" s="6">
        <f t="shared" si="21"/>
        <v>0</v>
      </c>
      <c r="Y31" s="6">
        <f t="shared" si="22"/>
        <v>0</v>
      </c>
      <c r="Z31" s="6">
        <f t="shared" si="2"/>
        <v>0</v>
      </c>
      <c r="AA31" s="6">
        <f t="shared" si="13"/>
        <v>0</v>
      </c>
      <c r="AB31" s="6">
        <f t="shared" si="14"/>
        <v>0</v>
      </c>
      <c r="AC31" s="6">
        <f t="shared" si="23"/>
        <v>0</v>
      </c>
    </row>
    <row r="32" spans="1:29" x14ac:dyDescent="0.25">
      <c r="A32">
        <v>18</v>
      </c>
      <c r="B32">
        <f t="shared" si="3"/>
        <v>18</v>
      </c>
      <c r="C32" s="200">
        <f t="shared" si="4"/>
        <v>1.5</v>
      </c>
      <c r="D32" s="6">
        <f t="shared" si="15"/>
        <v>0</v>
      </c>
      <c r="E32" s="6">
        <f t="shared" si="16"/>
        <v>0</v>
      </c>
      <c r="F32" s="6">
        <f t="shared" si="0"/>
        <v>0</v>
      </c>
      <c r="G32" s="6">
        <f t="shared" si="5"/>
        <v>0</v>
      </c>
      <c r="H32" s="6">
        <f t="shared" si="6"/>
        <v>0</v>
      </c>
      <c r="I32" s="6">
        <f t="shared" si="17"/>
        <v>0</v>
      </c>
      <c r="K32">
        <v>18</v>
      </c>
      <c r="L32">
        <f t="shared" si="7"/>
        <v>18</v>
      </c>
      <c r="M32" s="200">
        <f t="shared" si="8"/>
        <v>1.5</v>
      </c>
      <c r="N32" s="6">
        <f t="shared" si="18"/>
        <v>0</v>
      </c>
      <c r="O32" s="6">
        <f t="shared" si="19"/>
        <v>0</v>
      </c>
      <c r="P32" s="6">
        <f t="shared" si="1"/>
        <v>0</v>
      </c>
      <c r="Q32" s="6">
        <f t="shared" si="9"/>
        <v>0</v>
      </c>
      <c r="R32" s="6">
        <f t="shared" si="10"/>
        <v>0</v>
      </c>
      <c r="S32" s="6">
        <f t="shared" si="20"/>
        <v>0</v>
      </c>
      <c r="U32">
        <v>18</v>
      </c>
      <c r="V32">
        <f t="shared" si="11"/>
        <v>18</v>
      </c>
      <c r="W32" s="200">
        <f t="shared" si="12"/>
        <v>1.5</v>
      </c>
      <c r="X32" s="6">
        <f t="shared" si="21"/>
        <v>0</v>
      </c>
      <c r="Y32" s="6">
        <f t="shared" si="22"/>
        <v>0</v>
      </c>
      <c r="Z32" s="6">
        <f t="shared" si="2"/>
        <v>0</v>
      </c>
      <c r="AA32" s="6">
        <f t="shared" si="13"/>
        <v>0</v>
      </c>
      <c r="AB32" s="6">
        <f t="shared" si="14"/>
        <v>0</v>
      </c>
      <c r="AC32" s="6">
        <f t="shared" si="23"/>
        <v>0</v>
      </c>
    </row>
    <row r="33" spans="1:29" x14ac:dyDescent="0.25">
      <c r="A33">
        <v>19</v>
      </c>
      <c r="B33">
        <f t="shared" si="3"/>
        <v>19</v>
      </c>
      <c r="C33" s="200">
        <f t="shared" si="4"/>
        <v>1.5833333333333333</v>
      </c>
      <c r="D33" s="6">
        <f t="shared" si="15"/>
        <v>0</v>
      </c>
      <c r="E33" s="6">
        <f t="shared" si="16"/>
        <v>0</v>
      </c>
      <c r="F33" s="6">
        <f t="shared" si="0"/>
        <v>0</v>
      </c>
      <c r="G33" s="6">
        <f t="shared" si="5"/>
        <v>0</v>
      </c>
      <c r="H33" s="6">
        <f t="shared" si="6"/>
        <v>0</v>
      </c>
      <c r="I33" s="6">
        <f t="shared" si="17"/>
        <v>0</v>
      </c>
      <c r="K33">
        <v>19</v>
      </c>
      <c r="L33">
        <f t="shared" si="7"/>
        <v>19</v>
      </c>
      <c r="M33" s="200">
        <f t="shared" si="8"/>
        <v>1.5833333333333333</v>
      </c>
      <c r="N33" s="6">
        <f t="shared" si="18"/>
        <v>0</v>
      </c>
      <c r="O33" s="6">
        <f t="shared" si="19"/>
        <v>0</v>
      </c>
      <c r="P33" s="6">
        <f t="shared" si="1"/>
        <v>0</v>
      </c>
      <c r="Q33" s="6">
        <f t="shared" si="9"/>
        <v>0</v>
      </c>
      <c r="R33" s="6">
        <f t="shared" si="10"/>
        <v>0</v>
      </c>
      <c r="S33" s="6">
        <f t="shared" si="20"/>
        <v>0</v>
      </c>
      <c r="U33">
        <v>19</v>
      </c>
      <c r="V33">
        <f t="shared" si="11"/>
        <v>19</v>
      </c>
      <c r="W33" s="200">
        <f t="shared" si="12"/>
        <v>1.5833333333333333</v>
      </c>
      <c r="X33" s="6">
        <f t="shared" si="21"/>
        <v>0</v>
      </c>
      <c r="Y33" s="6">
        <f t="shared" si="22"/>
        <v>0</v>
      </c>
      <c r="Z33" s="6">
        <f t="shared" si="2"/>
        <v>0</v>
      </c>
      <c r="AA33" s="6">
        <f t="shared" si="13"/>
        <v>0</v>
      </c>
      <c r="AB33" s="6">
        <f t="shared" si="14"/>
        <v>0</v>
      </c>
      <c r="AC33" s="6">
        <f t="shared" si="23"/>
        <v>0</v>
      </c>
    </row>
    <row r="34" spans="1:29" x14ac:dyDescent="0.25">
      <c r="A34">
        <v>20</v>
      </c>
      <c r="B34">
        <f t="shared" si="3"/>
        <v>20</v>
      </c>
      <c r="C34" s="200">
        <f t="shared" si="4"/>
        <v>1.6666666666666667</v>
      </c>
      <c r="D34" s="6">
        <f t="shared" si="15"/>
        <v>0</v>
      </c>
      <c r="E34" s="6">
        <f t="shared" si="16"/>
        <v>0</v>
      </c>
      <c r="F34" s="6">
        <f t="shared" si="0"/>
        <v>0</v>
      </c>
      <c r="G34" s="6">
        <f t="shared" si="5"/>
        <v>0</v>
      </c>
      <c r="H34" s="6">
        <f t="shared" si="6"/>
        <v>0</v>
      </c>
      <c r="I34" s="6">
        <f t="shared" si="17"/>
        <v>0</v>
      </c>
      <c r="K34">
        <v>20</v>
      </c>
      <c r="L34">
        <f t="shared" si="7"/>
        <v>20</v>
      </c>
      <c r="M34" s="200">
        <f t="shared" si="8"/>
        <v>1.6666666666666667</v>
      </c>
      <c r="N34" s="6">
        <f t="shared" si="18"/>
        <v>0</v>
      </c>
      <c r="O34" s="6">
        <f t="shared" si="19"/>
        <v>0</v>
      </c>
      <c r="P34" s="6">
        <f t="shared" si="1"/>
        <v>0</v>
      </c>
      <c r="Q34" s="6">
        <f t="shared" si="9"/>
        <v>0</v>
      </c>
      <c r="R34" s="6">
        <f t="shared" si="10"/>
        <v>0</v>
      </c>
      <c r="S34" s="6">
        <f t="shared" si="20"/>
        <v>0</v>
      </c>
      <c r="U34">
        <v>20</v>
      </c>
      <c r="V34">
        <f t="shared" si="11"/>
        <v>20</v>
      </c>
      <c r="W34" s="200">
        <f t="shared" si="12"/>
        <v>1.6666666666666667</v>
      </c>
      <c r="X34" s="6">
        <f t="shared" si="21"/>
        <v>0</v>
      </c>
      <c r="Y34" s="6">
        <f t="shared" si="22"/>
        <v>0</v>
      </c>
      <c r="Z34" s="6">
        <f t="shared" si="2"/>
        <v>0</v>
      </c>
      <c r="AA34" s="6">
        <f t="shared" si="13"/>
        <v>0</v>
      </c>
      <c r="AB34" s="6">
        <f t="shared" si="14"/>
        <v>0</v>
      </c>
      <c r="AC34" s="6">
        <f t="shared" si="23"/>
        <v>0</v>
      </c>
    </row>
    <row r="35" spans="1:29" x14ac:dyDescent="0.25">
      <c r="A35">
        <v>21</v>
      </c>
      <c r="B35">
        <f t="shared" si="3"/>
        <v>21</v>
      </c>
      <c r="C35" s="200">
        <f t="shared" si="4"/>
        <v>1.75</v>
      </c>
      <c r="D35" s="6">
        <f t="shared" si="15"/>
        <v>0</v>
      </c>
      <c r="E35" s="6">
        <f t="shared" si="16"/>
        <v>0</v>
      </c>
      <c r="F35" s="6">
        <f t="shared" si="0"/>
        <v>0</v>
      </c>
      <c r="G35" s="6">
        <f t="shared" si="5"/>
        <v>0</v>
      </c>
      <c r="H35" s="6">
        <f t="shared" si="6"/>
        <v>0</v>
      </c>
      <c r="I35" s="6">
        <f t="shared" si="17"/>
        <v>0</v>
      </c>
      <c r="K35">
        <v>21</v>
      </c>
      <c r="L35">
        <f t="shared" si="7"/>
        <v>21</v>
      </c>
      <c r="M35" s="200">
        <f t="shared" si="8"/>
        <v>1.75</v>
      </c>
      <c r="N35" s="6">
        <f t="shared" si="18"/>
        <v>0</v>
      </c>
      <c r="O35" s="6">
        <f t="shared" si="19"/>
        <v>0</v>
      </c>
      <c r="P35" s="6">
        <f t="shared" si="1"/>
        <v>0</v>
      </c>
      <c r="Q35" s="6">
        <f t="shared" si="9"/>
        <v>0</v>
      </c>
      <c r="R35" s="6">
        <f t="shared" si="10"/>
        <v>0</v>
      </c>
      <c r="S35" s="6">
        <f t="shared" si="20"/>
        <v>0</v>
      </c>
      <c r="U35">
        <v>21</v>
      </c>
      <c r="V35">
        <f t="shared" si="11"/>
        <v>21</v>
      </c>
      <c r="W35" s="200">
        <f t="shared" si="12"/>
        <v>1.75</v>
      </c>
      <c r="X35" s="6">
        <f t="shared" si="21"/>
        <v>0</v>
      </c>
      <c r="Y35" s="6">
        <f t="shared" si="22"/>
        <v>0</v>
      </c>
      <c r="Z35" s="6">
        <f t="shared" si="2"/>
        <v>0</v>
      </c>
      <c r="AA35" s="6">
        <f t="shared" si="13"/>
        <v>0</v>
      </c>
      <c r="AB35" s="6">
        <f t="shared" si="14"/>
        <v>0</v>
      </c>
      <c r="AC35" s="6">
        <f t="shared" si="23"/>
        <v>0</v>
      </c>
    </row>
    <row r="36" spans="1:29" x14ac:dyDescent="0.25">
      <c r="A36">
        <v>22</v>
      </c>
      <c r="B36">
        <f t="shared" si="3"/>
        <v>22</v>
      </c>
      <c r="C36" s="200">
        <f t="shared" si="4"/>
        <v>1.8333333333333333</v>
      </c>
      <c r="D36" s="6">
        <f t="shared" si="15"/>
        <v>0</v>
      </c>
      <c r="E36" s="6">
        <f t="shared" si="16"/>
        <v>0</v>
      </c>
      <c r="F36" s="6">
        <f t="shared" si="0"/>
        <v>0</v>
      </c>
      <c r="G36" s="6">
        <f t="shared" si="5"/>
        <v>0</v>
      </c>
      <c r="H36" s="6">
        <f t="shared" si="6"/>
        <v>0</v>
      </c>
      <c r="I36" s="6">
        <f t="shared" si="17"/>
        <v>0</v>
      </c>
      <c r="K36">
        <v>22</v>
      </c>
      <c r="L36">
        <f t="shared" si="7"/>
        <v>22</v>
      </c>
      <c r="M36" s="200">
        <f t="shared" si="8"/>
        <v>1.8333333333333333</v>
      </c>
      <c r="N36" s="6">
        <f t="shared" si="18"/>
        <v>0</v>
      </c>
      <c r="O36" s="6">
        <f t="shared" si="19"/>
        <v>0</v>
      </c>
      <c r="P36" s="6">
        <f t="shared" si="1"/>
        <v>0</v>
      </c>
      <c r="Q36" s="6">
        <f t="shared" si="9"/>
        <v>0</v>
      </c>
      <c r="R36" s="6">
        <f t="shared" si="10"/>
        <v>0</v>
      </c>
      <c r="S36" s="6">
        <f t="shared" si="20"/>
        <v>0</v>
      </c>
      <c r="U36">
        <v>22</v>
      </c>
      <c r="V36">
        <f t="shared" si="11"/>
        <v>22</v>
      </c>
      <c r="W36" s="200">
        <f t="shared" si="12"/>
        <v>1.8333333333333333</v>
      </c>
      <c r="X36" s="6">
        <f t="shared" si="21"/>
        <v>0</v>
      </c>
      <c r="Y36" s="6">
        <f t="shared" si="22"/>
        <v>0</v>
      </c>
      <c r="Z36" s="6">
        <f t="shared" si="2"/>
        <v>0</v>
      </c>
      <c r="AA36" s="6">
        <f t="shared" si="13"/>
        <v>0</v>
      </c>
      <c r="AB36" s="6">
        <f t="shared" si="14"/>
        <v>0</v>
      </c>
      <c r="AC36" s="6">
        <f t="shared" si="23"/>
        <v>0</v>
      </c>
    </row>
    <row r="37" spans="1:29" x14ac:dyDescent="0.25">
      <c r="A37">
        <v>23</v>
      </c>
      <c r="B37">
        <f t="shared" si="3"/>
        <v>23</v>
      </c>
      <c r="C37" s="200">
        <f t="shared" si="4"/>
        <v>1.9166666666666667</v>
      </c>
      <c r="D37" s="6">
        <f t="shared" si="15"/>
        <v>0</v>
      </c>
      <c r="E37" s="6">
        <f t="shared" si="16"/>
        <v>0</v>
      </c>
      <c r="F37" s="6">
        <f t="shared" si="0"/>
        <v>0</v>
      </c>
      <c r="G37" s="6">
        <f t="shared" si="5"/>
        <v>0</v>
      </c>
      <c r="H37" s="6">
        <f t="shared" si="6"/>
        <v>0</v>
      </c>
      <c r="I37" s="6">
        <f t="shared" si="17"/>
        <v>0</v>
      </c>
      <c r="K37">
        <v>23</v>
      </c>
      <c r="L37">
        <f t="shared" si="7"/>
        <v>23</v>
      </c>
      <c r="M37" s="200">
        <f t="shared" si="8"/>
        <v>1.9166666666666667</v>
      </c>
      <c r="N37" s="6">
        <f t="shared" si="18"/>
        <v>0</v>
      </c>
      <c r="O37" s="6">
        <f t="shared" si="19"/>
        <v>0</v>
      </c>
      <c r="P37" s="6">
        <f t="shared" si="1"/>
        <v>0</v>
      </c>
      <c r="Q37" s="6">
        <f t="shared" si="9"/>
        <v>0</v>
      </c>
      <c r="R37" s="6">
        <f t="shared" si="10"/>
        <v>0</v>
      </c>
      <c r="S37" s="6">
        <f t="shared" si="20"/>
        <v>0</v>
      </c>
      <c r="U37">
        <v>23</v>
      </c>
      <c r="V37">
        <f t="shared" si="11"/>
        <v>23</v>
      </c>
      <c r="W37" s="200">
        <f t="shared" si="12"/>
        <v>1.9166666666666667</v>
      </c>
      <c r="X37" s="6">
        <f t="shared" si="21"/>
        <v>0</v>
      </c>
      <c r="Y37" s="6">
        <f t="shared" si="22"/>
        <v>0</v>
      </c>
      <c r="Z37" s="6">
        <f t="shared" si="2"/>
        <v>0</v>
      </c>
      <c r="AA37" s="6">
        <f t="shared" si="13"/>
        <v>0</v>
      </c>
      <c r="AB37" s="6">
        <f t="shared" si="14"/>
        <v>0</v>
      </c>
      <c r="AC37" s="6">
        <f t="shared" si="23"/>
        <v>0</v>
      </c>
    </row>
    <row r="38" spans="1:29" x14ac:dyDescent="0.25">
      <c r="A38">
        <v>24</v>
      </c>
      <c r="B38">
        <f t="shared" si="3"/>
        <v>24</v>
      </c>
      <c r="C38" s="200">
        <f t="shared" si="4"/>
        <v>2</v>
      </c>
      <c r="D38" s="6">
        <f t="shared" si="15"/>
        <v>0</v>
      </c>
      <c r="E38" s="6">
        <f t="shared" si="16"/>
        <v>0</v>
      </c>
      <c r="F38" s="6">
        <f t="shared" si="0"/>
        <v>0</v>
      </c>
      <c r="G38" s="6">
        <f t="shared" si="5"/>
        <v>0</v>
      </c>
      <c r="H38" s="6">
        <f t="shared" si="6"/>
        <v>0</v>
      </c>
      <c r="I38" s="6">
        <f t="shared" si="17"/>
        <v>0</v>
      </c>
      <c r="K38">
        <v>24</v>
      </c>
      <c r="L38">
        <f t="shared" si="7"/>
        <v>24</v>
      </c>
      <c r="M38" s="200">
        <f t="shared" si="8"/>
        <v>2</v>
      </c>
      <c r="N38" s="6">
        <f t="shared" si="18"/>
        <v>0</v>
      </c>
      <c r="O38" s="6">
        <f t="shared" si="19"/>
        <v>0</v>
      </c>
      <c r="P38" s="6">
        <f t="shared" si="1"/>
        <v>0</v>
      </c>
      <c r="Q38" s="6">
        <f t="shared" si="9"/>
        <v>0</v>
      </c>
      <c r="R38" s="6">
        <f t="shared" si="10"/>
        <v>0</v>
      </c>
      <c r="S38" s="6">
        <f t="shared" si="20"/>
        <v>0</v>
      </c>
      <c r="U38">
        <v>24</v>
      </c>
      <c r="V38">
        <f t="shared" si="11"/>
        <v>24</v>
      </c>
      <c r="W38" s="200">
        <f t="shared" si="12"/>
        <v>2</v>
      </c>
      <c r="X38" s="6">
        <f t="shared" si="21"/>
        <v>0</v>
      </c>
      <c r="Y38" s="6">
        <f t="shared" si="22"/>
        <v>0</v>
      </c>
      <c r="Z38" s="6">
        <f t="shared" si="2"/>
        <v>0</v>
      </c>
      <c r="AA38" s="6">
        <f t="shared" si="13"/>
        <v>0</v>
      </c>
      <c r="AB38" s="6">
        <f t="shared" si="14"/>
        <v>0</v>
      </c>
      <c r="AC38" s="6">
        <f t="shared" si="23"/>
        <v>0</v>
      </c>
    </row>
    <row r="39" spans="1:29" x14ac:dyDescent="0.25">
      <c r="A39">
        <v>25</v>
      </c>
      <c r="B39">
        <f t="shared" si="3"/>
        <v>25</v>
      </c>
      <c r="C39" s="200">
        <f t="shared" si="4"/>
        <v>2.0833333333333335</v>
      </c>
      <c r="D39" s="6">
        <f t="shared" si="15"/>
        <v>0</v>
      </c>
      <c r="E39" s="6">
        <f t="shared" si="16"/>
        <v>0</v>
      </c>
      <c r="F39" s="6">
        <f t="shared" si="0"/>
        <v>0</v>
      </c>
      <c r="G39" s="6">
        <f t="shared" si="5"/>
        <v>0</v>
      </c>
      <c r="H39" s="6">
        <f t="shared" si="6"/>
        <v>0</v>
      </c>
      <c r="I39" s="6">
        <f t="shared" si="17"/>
        <v>0</v>
      </c>
      <c r="K39">
        <v>25</v>
      </c>
      <c r="L39">
        <f t="shared" si="7"/>
        <v>25</v>
      </c>
      <c r="M39" s="200">
        <f t="shared" si="8"/>
        <v>2.0833333333333335</v>
      </c>
      <c r="N39" s="6">
        <f t="shared" si="18"/>
        <v>0</v>
      </c>
      <c r="O39" s="6">
        <f t="shared" si="19"/>
        <v>0</v>
      </c>
      <c r="P39" s="6">
        <f t="shared" si="1"/>
        <v>0</v>
      </c>
      <c r="Q39" s="6">
        <f t="shared" si="9"/>
        <v>0</v>
      </c>
      <c r="R39" s="6">
        <f t="shared" si="10"/>
        <v>0</v>
      </c>
      <c r="S39" s="6">
        <f t="shared" si="20"/>
        <v>0</v>
      </c>
      <c r="U39">
        <v>25</v>
      </c>
      <c r="V39">
        <f t="shared" si="11"/>
        <v>25</v>
      </c>
      <c r="W39" s="200">
        <f t="shared" si="12"/>
        <v>2.0833333333333335</v>
      </c>
      <c r="X39" s="6">
        <f t="shared" si="21"/>
        <v>0</v>
      </c>
      <c r="Y39" s="6">
        <f t="shared" si="22"/>
        <v>0</v>
      </c>
      <c r="Z39" s="6">
        <f t="shared" si="2"/>
        <v>0</v>
      </c>
      <c r="AA39" s="6">
        <f t="shared" si="13"/>
        <v>0</v>
      </c>
      <c r="AB39" s="6">
        <f t="shared" si="14"/>
        <v>0</v>
      </c>
      <c r="AC39" s="6">
        <f t="shared" si="23"/>
        <v>0</v>
      </c>
    </row>
    <row r="40" spans="1:29" x14ac:dyDescent="0.25">
      <c r="A40">
        <v>26</v>
      </c>
      <c r="B40">
        <f t="shared" si="3"/>
        <v>26</v>
      </c>
      <c r="C40" s="200">
        <f t="shared" si="4"/>
        <v>2.1666666666666665</v>
      </c>
      <c r="D40" s="6">
        <f t="shared" si="15"/>
        <v>0</v>
      </c>
      <c r="E40" s="6">
        <f t="shared" si="16"/>
        <v>0</v>
      </c>
      <c r="F40" s="6">
        <f t="shared" si="0"/>
        <v>0</v>
      </c>
      <c r="G40" s="6">
        <f t="shared" si="5"/>
        <v>0</v>
      </c>
      <c r="H40" s="6">
        <f t="shared" si="6"/>
        <v>0</v>
      </c>
      <c r="I40" s="6">
        <f t="shared" si="17"/>
        <v>0</v>
      </c>
      <c r="K40">
        <v>26</v>
      </c>
      <c r="L40">
        <f t="shared" si="7"/>
        <v>26</v>
      </c>
      <c r="M40" s="200">
        <f t="shared" si="8"/>
        <v>2.1666666666666665</v>
      </c>
      <c r="N40" s="6">
        <f t="shared" si="18"/>
        <v>0</v>
      </c>
      <c r="O40" s="6">
        <f t="shared" si="19"/>
        <v>0</v>
      </c>
      <c r="P40" s="6">
        <f t="shared" si="1"/>
        <v>0</v>
      </c>
      <c r="Q40" s="6">
        <f t="shared" si="9"/>
        <v>0</v>
      </c>
      <c r="R40" s="6">
        <f t="shared" si="10"/>
        <v>0</v>
      </c>
      <c r="S40" s="6">
        <f t="shared" si="20"/>
        <v>0</v>
      </c>
      <c r="U40">
        <v>26</v>
      </c>
      <c r="V40">
        <f t="shared" si="11"/>
        <v>26</v>
      </c>
      <c r="W40" s="200">
        <f t="shared" si="12"/>
        <v>2.1666666666666665</v>
      </c>
      <c r="X40" s="6">
        <f t="shared" si="21"/>
        <v>0</v>
      </c>
      <c r="Y40" s="6">
        <f t="shared" si="22"/>
        <v>0</v>
      </c>
      <c r="Z40" s="6">
        <f t="shared" si="2"/>
        <v>0</v>
      </c>
      <c r="AA40" s="6">
        <f t="shared" si="13"/>
        <v>0</v>
      </c>
      <c r="AB40" s="6">
        <f t="shared" si="14"/>
        <v>0</v>
      </c>
      <c r="AC40" s="6">
        <f t="shared" si="23"/>
        <v>0</v>
      </c>
    </row>
    <row r="41" spans="1:29" x14ac:dyDescent="0.25">
      <c r="A41">
        <v>27</v>
      </c>
      <c r="B41">
        <f t="shared" si="3"/>
        <v>27</v>
      </c>
      <c r="C41" s="200">
        <f t="shared" si="4"/>
        <v>2.25</v>
      </c>
      <c r="D41" s="6">
        <f t="shared" si="15"/>
        <v>0</v>
      </c>
      <c r="E41" s="6">
        <f t="shared" si="16"/>
        <v>0</v>
      </c>
      <c r="F41" s="6">
        <f t="shared" si="0"/>
        <v>0</v>
      </c>
      <c r="G41" s="6">
        <f t="shared" si="5"/>
        <v>0</v>
      </c>
      <c r="H41" s="6">
        <f t="shared" si="6"/>
        <v>0</v>
      </c>
      <c r="I41" s="6">
        <f t="shared" si="17"/>
        <v>0</v>
      </c>
      <c r="K41">
        <v>27</v>
      </c>
      <c r="L41">
        <f t="shared" si="7"/>
        <v>27</v>
      </c>
      <c r="M41" s="200">
        <f t="shared" si="8"/>
        <v>2.25</v>
      </c>
      <c r="N41" s="6">
        <f t="shared" si="18"/>
        <v>0</v>
      </c>
      <c r="O41" s="6">
        <f t="shared" si="19"/>
        <v>0</v>
      </c>
      <c r="P41" s="6">
        <f t="shared" si="1"/>
        <v>0</v>
      </c>
      <c r="Q41" s="6">
        <f t="shared" si="9"/>
        <v>0</v>
      </c>
      <c r="R41" s="6">
        <f t="shared" si="10"/>
        <v>0</v>
      </c>
      <c r="S41" s="6">
        <f t="shared" si="20"/>
        <v>0</v>
      </c>
      <c r="U41">
        <v>27</v>
      </c>
      <c r="V41">
        <f t="shared" si="11"/>
        <v>27</v>
      </c>
      <c r="W41" s="200">
        <f t="shared" si="12"/>
        <v>2.25</v>
      </c>
      <c r="X41" s="6">
        <f t="shared" si="21"/>
        <v>0</v>
      </c>
      <c r="Y41" s="6">
        <f t="shared" si="22"/>
        <v>0</v>
      </c>
      <c r="Z41" s="6">
        <f t="shared" si="2"/>
        <v>0</v>
      </c>
      <c r="AA41" s="6">
        <f t="shared" si="13"/>
        <v>0</v>
      </c>
      <c r="AB41" s="6">
        <f t="shared" si="14"/>
        <v>0</v>
      </c>
      <c r="AC41" s="6">
        <f t="shared" si="23"/>
        <v>0</v>
      </c>
    </row>
    <row r="42" spans="1:29" x14ac:dyDescent="0.25">
      <c r="A42">
        <v>28</v>
      </c>
      <c r="B42">
        <f t="shared" si="3"/>
        <v>28</v>
      </c>
      <c r="C42" s="200">
        <f t="shared" si="4"/>
        <v>2.3333333333333335</v>
      </c>
      <c r="D42" s="6">
        <f t="shared" si="15"/>
        <v>0</v>
      </c>
      <c r="E42" s="6">
        <f t="shared" si="16"/>
        <v>0</v>
      </c>
      <c r="F42" s="6">
        <f t="shared" si="0"/>
        <v>0</v>
      </c>
      <c r="G42" s="6">
        <f t="shared" si="5"/>
        <v>0</v>
      </c>
      <c r="H42" s="6">
        <f t="shared" si="6"/>
        <v>0</v>
      </c>
      <c r="I42" s="6">
        <f t="shared" si="17"/>
        <v>0</v>
      </c>
      <c r="K42">
        <v>28</v>
      </c>
      <c r="L42">
        <f t="shared" si="7"/>
        <v>28</v>
      </c>
      <c r="M42" s="200">
        <f t="shared" si="8"/>
        <v>2.3333333333333335</v>
      </c>
      <c r="N42" s="6">
        <f t="shared" si="18"/>
        <v>0</v>
      </c>
      <c r="O42" s="6">
        <f t="shared" si="19"/>
        <v>0</v>
      </c>
      <c r="P42" s="6">
        <f t="shared" si="1"/>
        <v>0</v>
      </c>
      <c r="Q42" s="6">
        <f t="shared" si="9"/>
        <v>0</v>
      </c>
      <c r="R42" s="6">
        <f t="shared" si="10"/>
        <v>0</v>
      </c>
      <c r="S42" s="6">
        <f t="shared" si="20"/>
        <v>0</v>
      </c>
      <c r="U42">
        <v>28</v>
      </c>
      <c r="V42">
        <f t="shared" si="11"/>
        <v>28</v>
      </c>
      <c r="W42" s="200">
        <f t="shared" si="12"/>
        <v>2.3333333333333335</v>
      </c>
      <c r="X42" s="6">
        <f t="shared" si="21"/>
        <v>0</v>
      </c>
      <c r="Y42" s="6">
        <f t="shared" si="22"/>
        <v>0</v>
      </c>
      <c r="Z42" s="6">
        <f t="shared" si="2"/>
        <v>0</v>
      </c>
      <c r="AA42" s="6">
        <f t="shared" si="13"/>
        <v>0</v>
      </c>
      <c r="AB42" s="6">
        <f t="shared" si="14"/>
        <v>0</v>
      </c>
      <c r="AC42" s="6">
        <f t="shared" si="23"/>
        <v>0</v>
      </c>
    </row>
    <row r="43" spans="1:29" x14ac:dyDescent="0.25">
      <c r="A43">
        <v>29</v>
      </c>
      <c r="B43">
        <f t="shared" si="3"/>
        <v>29</v>
      </c>
      <c r="C43" s="200">
        <f t="shared" si="4"/>
        <v>2.4166666666666665</v>
      </c>
      <c r="D43" s="6">
        <f t="shared" si="15"/>
        <v>0</v>
      </c>
      <c r="E43" s="6">
        <f t="shared" si="16"/>
        <v>0</v>
      </c>
      <c r="F43" s="6">
        <f t="shared" si="0"/>
        <v>0</v>
      </c>
      <c r="G43" s="6">
        <f t="shared" si="5"/>
        <v>0</v>
      </c>
      <c r="H43" s="6">
        <f t="shared" si="6"/>
        <v>0</v>
      </c>
      <c r="I43" s="6">
        <f t="shared" si="17"/>
        <v>0</v>
      </c>
      <c r="K43">
        <v>29</v>
      </c>
      <c r="L43">
        <f t="shared" si="7"/>
        <v>29</v>
      </c>
      <c r="M43" s="200">
        <f t="shared" si="8"/>
        <v>2.4166666666666665</v>
      </c>
      <c r="N43" s="6">
        <f t="shared" si="18"/>
        <v>0</v>
      </c>
      <c r="O43" s="6">
        <f t="shared" si="19"/>
        <v>0</v>
      </c>
      <c r="P43" s="6">
        <f t="shared" si="1"/>
        <v>0</v>
      </c>
      <c r="Q43" s="6">
        <f t="shared" si="9"/>
        <v>0</v>
      </c>
      <c r="R43" s="6">
        <f t="shared" si="10"/>
        <v>0</v>
      </c>
      <c r="S43" s="6">
        <f t="shared" si="20"/>
        <v>0</v>
      </c>
      <c r="U43">
        <v>29</v>
      </c>
      <c r="V43">
        <f t="shared" si="11"/>
        <v>29</v>
      </c>
      <c r="W43" s="200">
        <f t="shared" si="12"/>
        <v>2.4166666666666665</v>
      </c>
      <c r="X43" s="6">
        <f t="shared" si="21"/>
        <v>0</v>
      </c>
      <c r="Y43" s="6">
        <f t="shared" si="22"/>
        <v>0</v>
      </c>
      <c r="Z43" s="6">
        <f t="shared" si="2"/>
        <v>0</v>
      </c>
      <c r="AA43" s="6">
        <f t="shared" si="13"/>
        <v>0</v>
      </c>
      <c r="AB43" s="6">
        <f t="shared" si="14"/>
        <v>0</v>
      </c>
      <c r="AC43" s="6">
        <f t="shared" si="23"/>
        <v>0</v>
      </c>
    </row>
    <row r="44" spans="1:29" x14ac:dyDescent="0.25">
      <c r="A44">
        <v>30</v>
      </c>
      <c r="B44">
        <f t="shared" si="3"/>
        <v>30</v>
      </c>
      <c r="C44" s="200">
        <f t="shared" si="4"/>
        <v>2.5</v>
      </c>
      <c r="D44" s="6">
        <f t="shared" si="15"/>
        <v>0</v>
      </c>
      <c r="E44" s="6">
        <f t="shared" si="16"/>
        <v>0</v>
      </c>
      <c r="F44" s="6">
        <f t="shared" si="0"/>
        <v>0</v>
      </c>
      <c r="G44" s="6">
        <f t="shared" si="5"/>
        <v>0</v>
      </c>
      <c r="H44" s="6">
        <f t="shared" si="6"/>
        <v>0</v>
      </c>
      <c r="I44" s="6">
        <f t="shared" si="17"/>
        <v>0</v>
      </c>
      <c r="K44">
        <v>30</v>
      </c>
      <c r="L44">
        <f t="shared" si="7"/>
        <v>30</v>
      </c>
      <c r="M44" s="200">
        <f t="shared" si="8"/>
        <v>2.5</v>
      </c>
      <c r="N44" s="6">
        <f t="shared" si="18"/>
        <v>0</v>
      </c>
      <c r="O44" s="6">
        <f t="shared" si="19"/>
        <v>0</v>
      </c>
      <c r="P44" s="6">
        <f t="shared" si="1"/>
        <v>0</v>
      </c>
      <c r="Q44" s="6">
        <f t="shared" si="9"/>
        <v>0</v>
      </c>
      <c r="R44" s="6">
        <f t="shared" si="10"/>
        <v>0</v>
      </c>
      <c r="S44" s="6">
        <f t="shared" si="20"/>
        <v>0</v>
      </c>
      <c r="U44">
        <v>30</v>
      </c>
      <c r="V44">
        <f t="shared" si="11"/>
        <v>30</v>
      </c>
      <c r="W44" s="200">
        <f t="shared" si="12"/>
        <v>2.5</v>
      </c>
      <c r="X44" s="6">
        <f t="shared" si="21"/>
        <v>0</v>
      </c>
      <c r="Y44" s="6">
        <f t="shared" si="22"/>
        <v>0</v>
      </c>
      <c r="Z44" s="6">
        <f t="shared" si="2"/>
        <v>0</v>
      </c>
      <c r="AA44" s="6">
        <f t="shared" si="13"/>
        <v>0</v>
      </c>
      <c r="AB44" s="6">
        <f t="shared" si="14"/>
        <v>0</v>
      </c>
      <c r="AC44" s="6">
        <f t="shared" si="23"/>
        <v>0</v>
      </c>
    </row>
    <row r="45" spans="1:29" x14ac:dyDescent="0.25">
      <c r="A45">
        <v>31</v>
      </c>
      <c r="B45">
        <f t="shared" si="3"/>
        <v>31</v>
      </c>
      <c r="C45" s="200">
        <f t="shared" si="4"/>
        <v>2.5833333333333335</v>
      </c>
      <c r="D45" s="6">
        <f t="shared" si="15"/>
        <v>0</v>
      </c>
      <c r="E45" s="6">
        <f t="shared" si="16"/>
        <v>0</v>
      </c>
      <c r="F45" s="6">
        <f t="shared" si="0"/>
        <v>0</v>
      </c>
      <c r="G45" s="6">
        <f t="shared" si="5"/>
        <v>0</v>
      </c>
      <c r="H45" s="6">
        <f t="shared" si="6"/>
        <v>0</v>
      </c>
      <c r="I45" s="6">
        <f t="shared" si="17"/>
        <v>0</v>
      </c>
      <c r="K45">
        <v>31</v>
      </c>
      <c r="L45">
        <f t="shared" si="7"/>
        <v>31</v>
      </c>
      <c r="M45" s="200">
        <f t="shared" si="8"/>
        <v>2.5833333333333335</v>
      </c>
      <c r="N45" s="6">
        <f t="shared" si="18"/>
        <v>0</v>
      </c>
      <c r="O45" s="6">
        <f t="shared" si="19"/>
        <v>0</v>
      </c>
      <c r="P45" s="6">
        <f t="shared" si="1"/>
        <v>0</v>
      </c>
      <c r="Q45" s="6">
        <f t="shared" si="9"/>
        <v>0</v>
      </c>
      <c r="R45" s="6">
        <f t="shared" si="10"/>
        <v>0</v>
      </c>
      <c r="S45" s="6">
        <f t="shared" si="20"/>
        <v>0</v>
      </c>
      <c r="U45">
        <v>31</v>
      </c>
      <c r="V45">
        <f t="shared" si="11"/>
        <v>31</v>
      </c>
      <c r="W45" s="200">
        <f t="shared" si="12"/>
        <v>2.5833333333333335</v>
      </c>
      <c r="X45" s="6">
        <f t="shared" si="21"/>
        <v>0</v>
      </c>
      <c r="Y45" s="6">
        <f t="shared" si="22"/>
        <v>0</v>
      </c>
      <c r="Z45" s="6">
        <f t="shared" si="2"/>
        <v>0</v>
      </c>
      <c r="AA45" s="6">
        <f t="shared" si="13"/>
        <v>0</v>
      </c>
      <c r="AB45" s="6">
        <f t="shared" si="14"/>
        <v>0</v>
      </c>
      <c r="AC45" s="6">
        <f t="shared" si="23"/>
        <v>0</v>
      </c>
    </row>
    <row r="46" spans="1:29" x14ac:dyDescent="0.25">
      <c r="A46">
        <v>32</v>
      </c>
      <c r="B46">
        <f t="shared" si="3"/>
        <v>32</v>
      </c>
      <c r="C46" s="200">
        <f t="shared" si="4"/>
        <v>2.6666666666666665</v>
      </c>
      <c r="D46" s="6">
        <f t="shared" si="15"/>
        <v>0</v>
      </c>
      <c r="E46" s="6">
        <f t="shared" si="16"/>
        <v>0</v>
      </c>
      <c r="F46" s="6">
        <f t="shared" si="0"/>
        <v>0</v>
      </c>
      <c r="G46" s="6">
        <f t="shared" si="5"/>
        <v>0</v>
      </c>
      <c r="H46" s="6">
        <f t="shared" si="6"/>
        <v>0</v>
      </c>
      <c r="I46" s="6">
        <f t="shared" si="17"/>
        <v>0</v>
      </c>
      <c r="K46">
        <v>32</v>
      </c>
      <c r="L46">
        <f t="shared" si="7"/>
        <v>32</v>
      </c>
      <c r="M46" s="200">
        <f t="shared" si="8"/>
        <v>2.6666666666666665</v>
      </c>
      <c r="N46" s="6">
        <f t="shared" si="18"/>
        <v>0</v>
      </c>
      <c r="O46" s="6">
        <f t="shared" si="19"/>
        <v>0</v>
      </c>
      <c r="P46" s="6">
        <f t="shared" si="1"/>
        <v>0</v>
      </c>
      <c r="Q46" s="6">
        <f t="shared" si="9"/>
        <v>0</v>
      </c>
      <c r="R46" s="6">
        <f t="shared" si="10"/>
        <v>0</v>
      </c>
      <c r="S46" s="6">
        <f t="shared" si="20"/>
        <v>0</v>
      </c>
      <c r="U46">
        <v>32</v>
      </c>
      <c r="V46">
        <f t="shared" si="11"/>
        <v>32</v>
      </c>
      <c r="W46" s="200">
        <f t="shared" si="12"/>
        <v>2.6666666666666665</v>
      </c>
      <c r="X46" s="6">
        <f t="shared" si="21"/>
        <v>0</v>
      </c>
      <c r="Y46" s="6">
        <f t="shared" si="22"/>
        <v>0</v>
      </c>
      <c r="Z46" s="6">
        <f t="shared" si="2"/>
        <v>0</v>
      </c>
      <c r="AA46" s="6">
        <f t="shared" si="13"/>
        <v>0</v>
      </c>
      <c r="AB46" s="6">
        <f t="shared" si="14"/>
        <v>0</v>
      </c>
      <c r="AC46" s="6">
        <f t="shared" si="23"/>
        <v>0</v>
      </c>
    </row>
    <row r="47" spans="1:29" x14ac:dyDescent="0.25">
      <c r="A47">
        <v>33</v>
      </c>
      <c r="B47">
        <f t="shared" si="3"/>
        <v>33</v>
      </c>
      <c r="C47" s="200">
        <f t="shared" si="4"/>
        <v>2.75</v>
      </c>
      <c r="D47" s="6">
        <f t="shared" si="15"/>
        <v>0</v>
      </c>
      <c r="E47" s="6">
        <f t="shared" si="16"/>
        <v>0</v>
      </c>
      <c r="F47" s="6">
        <f t="shared" ref="F47:F78" si="24">IF(B$10&gt;=A47,0,E47-G47)</f>
        <v>0</v>
      </c>
      <c r="G47" s="6">
        <f t="shared" si="5"/>
        <v>0</v>
      </c>
      <c r="H47" s="6">
        <f t="shared" si="6"/>
        <v>0</v>
      </c>
      <c r="I47" s="6">
        <f t="shared" si="17"/>
        <v>0</v>
      </c>
      <c r="K47">
        <v>33</v>
      </c>
      <c r="L47">
        <f t="shared" si="7"/>
        <v>33</v>
      </c>
      <c r="M47" s="200">
        <f t="shared" si="8"/>
        <v>2.75</v>
      </c>
      <c r="N47" s="6">
        <f t="shared" si="18"/>
        <v>0</v>
      </c>
      <c r="O47" s="6">
        <f t="shared" si="19"/>
        <v>0</v>
      </c>
      <c r="P47" s="6">
        <f t="shared" ref="P47:P78" si="25">IF(L$10&gt;=K47,0,O47-Q47)</f>
        <v>0</v>
      </c>
      <c r="Q47" s="6">
        <f t="shared" si="9"/>
        <v>0</v>
      </c>
      <c r="R47" s="6">
        <f t="shared" si="10"/>
        <v>0</v>
      </c>
      <c r="S47" s="6">
        <f t="shared" si="20"/>
        <v>0</v>
      </c>
      <c r="U47">
        <v>33</v>
      </c>
      <c r="V47">
        <f t="shared" si="11"/>
        <v>33</v>
      </c>
      <c r="W47" s="200">
        <f t="shared" si="12"/>
        <v>2.75</v>
      </c>
      <c r="X47" s="6">
        <f t="shared" si="21"/>
        <v>0</v>
      </c>
      <c r="Y47" s="6">
        <f t="shared" si="22"/>
        <v>0</v>
      </c>
      <c r="Z47" s="6">
        <f t="shared" ref="Z47:Z78" si="26">IF(V$10&gt;=U47,0,Y47-AA47)</f>
        <v>0</v>
      </c>
      <c r="AA47" s="6">
        <f t="shared" si="13"/>
        <v>0</v>
      </c>
      <c r="AB47" s="6">
        <f t="shared" si="14"/>
        <v>0</v>
      </c>
      <c r="AC47" s="6">
        <f t="shared" si="23"/>
        <v>0</v>
      </c>
    </row>
    <row r="48" spans="1:29" x14ac:dyDescent="0.25">
      <c r="A48">
        <v>34</v>
      </c>
      <c r="B48">
        <f t="shared" si="3"/>
        <v>34</v>
      </c>
      <c r="C48" s="200">
        <f t="shared" si="4"/>
        <v>2.8333333333333335</v>
      </c>
      <c r="D48" s="6">
        <f t="shared" si="15"/>
        <v>0</v>
      </c>
      <c r="E48" s="6">
        <f t="shared" si="16"/>
        <v>0</v>
      </c>
      <c r="F48" s="6">
        <f t="shared" si="24"/>
        <v>0</v>
      </c>
      <c r="G48" s="6">
        <f t="shared" si="5"/>
        <v>0</v>
      </c>
      <c r="H48" s="6">
        <f t="shared" si="6"/>
        <v>0</v>
      </c>
      <c r="I48" s="6">
        <f t="shared" si="17"/>
        <v>0</v>
      </c>
      <c r="K48">
        <v>34</v>
      </c>
      <c r="L48">
        <f t="shared" si="7"/>
        <v>34</v>
      </c>
      <c r="M48" s="200">
        <f t="shared" si="8"/>
        <v>2.8333333333333335</v>
      </c>
      <c r="N48" s="6">
        <f t="shared" si="18"/>
        <v>0</v>
      </c>
      <c r="O48" s="6">
        <f t="shared" si="19"/>
        <v>0</v>
      </c>
      <c r="P48" s="6">
        <f t="shared" si="25"/>
        <v>0</v>
      </c>
      <c r="Q48" s="6">
        <f t="shared" si="9"/>
        <v>0</v>
      </c>
      <c r="R48" s="6">
        <f t="shared" si="10"/>
        <v>0</v>
      </c>
      <c r="S48" s="6">
        <f t="shared" si="20"/>
        <v>0</v>
      </c>
      <c r="U48">
        <v>34</v>
      </c>
      <c r="V48">
        <f t="shared" si="11"/>
        <v>34</v>
      </c>
      <c r="W48" s="200">
        <f t="shared" si="12"/>
        <v>2.8333333333333335</v>
      </c>
      <c r="X48" s="6">
        <f t="shared" si="21"/>
        <v>0</v>
      </c>
      <c r="Y48" s="6">
        <f t="shared" si="22"/>
        <v>0</v>
      </c>
      <c r="Z48" s="6">
        <f t="shared" si="26"/>
        <v>0</v>
      </c>
      <c r="AA48" s="6">
        <f t="shared" si="13"/>
        <v>0</v>
      </c>
      <c r="AB48" s="6">
        <f t="shared" si="14"/>
        <v>0</v>
      </c>
      <c r="AC48" s="6">
        <f t="shared" si="23"/>
        <v>0</v>
      </c>
    </row>
    <row r="49" spans="1:29" x14ac:dyDescent="0.25">
      <c r="A49">
        <v>35</v>
      </c>
      <c r="B49">
        <f t="shared" si="3"/>
        <v>35</v>
      </c>
      <c r="C49" s="200">
        <f t="shared" si="4"/>
        <v>2.9166666666666665</v>
      </c>
      <c r="D49" s="6">
        <f t="shared" si="15"/>
        <v>0</v>
      </c>
      <c r="E49" s="6">
        <f t="shared" si="16"/>
        <v>0</v>
      </c>
      <c r="F49" s="6">
        <f t="shared" si="24"/>
        <v>0</v>
      </c>
      <c r="G49" s="6">
        <f t="shared" si="5"/>
        <v>0</v>
      </c>
      <c r="H49" s="6">
        <f t="shared" si="6"/>
        <v>0</v>
      </c>
      <c r="I49" s="6">
        <f t="shared" si="17"/>
        <v>0</v>
      </c>
      <c r="K49">
        <v>35</v>
      </c>
      <c r="L49">
        <f t="shared" si="7"/>
        <v>35</v>
      </c>
      <c r="M49" s="200">
        <f t="shared" si="8"/>
        <v>2.9166666666666665</v>
      </c>
      <c r="N49" s="6">
        <f t="shared" si="18"/>
        <v>0</v>
      </c>
      <c r="O49" s="6">
        <f t="shared" si="19"/>
        <v>0</v>
      </c>
      <c r="P49" s="6">
        <f t="shared" si="25"/>
        <v>0</v>
      </c>
      <c r="Q49" s="6">
        <f t="shared" si="9"/>
        <v>0</v>
      </c>
      <c r="R49" s="6">
        <f t="shared" si="10"/>
        <v>0</v>
      </c>
      <c r="S49" s="6">
        <f t="shared" si="20"/>
        <v>0</v>
      </c>
      <c r="U49">
        <v>35</v>
      </c>
      <c r="V49">
        <f t="shared" si="11"/>
        <v>35</v>
      </c>
      <c r="W49" s="200">
        <f t="shared" si="12"/>
        <v>2.9166666666666665</v>
      </c>
      <c r="X49" s="6">
        <f t="shared" si="21"/>
        <v>0</v>
      </c>
      <c r="Y49" s="6">
        <f t="shared" si="22"/>
        <v>0</v>
      </c>
      <c r="Z49" s="6">
        <f t="shared" si="26"/>
        <v>0</v>
      </c>
      <c r="AA49" s="6">
        <f t="shared" si="13"/>
        <v>0</v>
      </c>
      <c r="AB49" s="6">
        <f t="shared" si="14"/>
        <v>0</v>
      </c>
      <c r="AC49" s="6">
        <f t="shared" si="23"/>
        <v>0</v>
      </c>
    </row>
    <row r="50" spans="1:29" x14ac:dyDescent="0.25">
      <c r="A50">
        <v>36</v>
      </c>
      <c r="B50">
        <f t="shared" si="3"/>
        <v>36</v>
      </c>
      <c r="C50" s="200">
        <f t="shared" si="4"/>
        <v>3</v>
      </c>
      <c r="D50" s="6">
        <f t="shared" si="15"/>
        <v>0</v>
      </c>
      <c r="E50" s="6">
        <f t="shared" si="16"/>
        <v>0</v>
      </c>
      <c r="F50" s="6">
        <f t="shared" si="24"/>
        <v>0</v>
      </c>
      <c r="G50" s="6">
        <f t="shared" si="5"/>
        <v>0</v>
      </c>
      <c r="H50" s="6">
        <f t="shared" si="6"/>
        <v>0</v>
      </c>
      <c r="I50" s="6">
        <f t="shared" si="17"/>
        <v>0</v>
      </c>
      <c r="K50">
        <v>36</v>
      </c>
      <c r="L50">
        <f t="shared" si="7"/>
        <v>36</v>
      </c>
      <c r="M50" s="200">
        <f t="shared" si="8"/>
        <v>3</v>
      </c>
      <c r="N50" s="6">
        <f t="shared" si="18"/>
        <v>0</v>
      </c>
      <c r="O50" s="6">
        <f t="shared" si="19"/>
        <v>0</v>
      </c>
      <c r="P50" s="6">
        <f t="shared" si="25"/>
        <v>0</v>
      </c>
      <c r="Q50" s="6">
        <f t="shared" si="9"/>
        <v>0</v>
      </c>
      <c r="R50" s="6">
        <f t="shared" si="10"/>
        <v>0</v>
      </c>
      <c r="S50" s="6">
        <f t="shared" si="20"/>
        <v>0</v>
      </c>
      <c r="U50">
        <v>36</v>
      </c>
      <c r="V50">
        <f t="shared" si="11"/>
        <v>36</v>
      </c>
      <c r="W50" s="200">
        <f t="shared" si="12"/>
        <v>3</v>
      </c>
      <c r="X50" s="6">
        <f t="shared" si="21"/>
        <v>0</v>
      </c>
      <c r="Y50" s="6">
        <f t="shared" si="22"/>
        <v>0</v>
      </c>
      <c r="Z50" s="6">
        <f t="shared" si="26"/>
        <v>0</v>
      </c>
      <c r="AA50" s="6">
        <f t="shared" si="13"/>
        <v>0</v>
      </c>
      <c r="AB50" s="6">
        <f t="shared" si="14"/>
        <v>0</v>
      </c>
      <c r="AC50" s="6">
        <f t="shared" si="23"/>
        <v>0</v>
      </c>
    </row>
    <row r="51" spans="1:29" x14ac:dyDescent="0.25">
      <c r="A51">
        <v>37</v>
      </c>
      <c r="B51">
        <f t="shared" si="3"/>
        <v>37</v>
      </c>
      <c r="C51" s="200">
        <f t="shared" si="4"/>
        <v>3.0833333333333335</v>
      </c>
      <c r="D51" s="6">
        <f t="shared" si="15"/>
        <v>0</v>
      </c>
      <c r="E51" s="6">
        <f t="shared" si="16"/>
        <v>0</v>
      </c>
      <c r="F51" s="6">
        <f t="shared" si="24"/>
        <v>0</v>
      </c>
      <c r="G51" s="6">
        <f t="shared" si="5"/>
        <v>0</v>
      </c>
      <c r="H51" s="6">
        <f t="shared" si="6"/>
        <v>0</v>
      </c>
      <c r="I51" s="6">
        <f t="shared" si="17"/>
        <v>0</v>
      </c>
      <c r="K51">
        <v>37</v>
      </c>
      <c r="L51">
        <f t="shared" si="7"/>
        <v>37</v>
      </c>
      <c r="M51" s="200">
        <f t="shared" si="8"/>
        <v>3.0833333333333335</v>
      </c>
      <c r="N51" s="6">
        <f t="shared" si="18"/>
        <v>0</v>
      </c>
      <c r="O51" s="6">
        <f t="shared" si="19"/>
        <v>0</v>
      </c>
      <c r="P51" s="6">
        <f t="shared" si="25"/>
        <v>0</v>
      </c>
      <c r="Q51" s="6">
        <f t="shared" si="9"/>
        <v>0</v>
      </c>
      <c r="R51" s="6">
        <f t="shared" si="10"/>
        <v>0</v>
      </c>
      <c r="S51" s="6">
        <f t="shared" si="20"/>
        <v>0</v>
      </c>
      <c r="U51">
        <v>37</v>
      </c>
      <c r="V51">
        <f t="shared" si="11"/>
        <v>37</v>
      </c>
      <c r="W51" s="200">
        <f t="shared" si="12"/>
        <v>3.0833333333333335</v>
      </c>
      <c r="X51" s="6">
        <f t="shared" si="21"/>
        <v>0</v>
      </c>
      <c r="Y51" s="6">
        <f t="shared" si="22"/>
        <v>0</v>
      </c>
      <c r="Z51" s="6">
        <f t="shared" si="26"/>
        <v>0</v>
      </c>
      <c r="AA51" s="6">
        <f t="shared" si="13"/>
        <v>0</v>
      </c>
      <c r="AB51" s="6">
        <f t="shared" si="14"/>
        <v>0</v>
      </c>
      <c r="AC51" s="6">
        <f t="shared" si="23"/>
        <v>0</v>
      </c>
    </row>
    <row r="52" spans="1:29" x14ac:dyDescent="0.25">
      <c r="A52">
        <v>38</v>
      </c>
      <c r="B52">
        <f t="shared" si="3"/>
        <v>38</v>
      </c>
      <c r="C52" s="200">
        <f t="shared" si="4"/>
        <v>3.1666666666666665</v>
      </c>
      <c r="D52" s="6">
        <f t="shared" si="15"/>
        <v>0</v>
      </c>
      <c r="E52" s="6">
        <f t="shared" si="16"/>
        <v>0</v>
      </c>
      <c r="F52" s="6">
        <f t="shared" si="24"/>
        <v>0</v>
      </c>
      <c r="G52" s="6">
        <f t="shared" si="5"/>
        <v>0</v>
      </c>
      <c r="H52" s="6">
        <f t="shared" si="6"/>
        <v>0</v>
      </c>
      <c r="I52" s="6">
        <f t="shared" si="17"/>
        <v>0</v>
      </c>
      <c r="K52">
        <v>38</v>
      </c>
      <c r="L52">
        <f t="shared" si="7"/>
        <v>38</v>
      </c>
      <c r="M52" s="200">
        <f t="shared" si="8"/>
        <v>3.1666666666666665</v>
      </c>
      <c r="N52" s="6">
        <f t="shared" si="18"/>
        <v>0</v>
      </c>
      <c r="O52" s="6">
        <f t="shared" si="19"/>
        <v>0</v>
      </c>
      <c r="P52" s="6">
        <f t="shared" si="25"/>
        <v>0</v>
      </c>
      <c r="Q52" s="6">
        <f t="shared" si="9"/>
        <v>0</v>
      </c>
      <c r="R52" s="6">
        <f t="shared" si="10"/>
        <v>0</v>
      </c>
      <c r="S52" s="6">
        <f t="shared" si="20"/>
        <v>0</v>
      </c>
      <c r="U52">
        <v>38</v>
      </c>
      <c r="V52">
        <f t="shared" si="11"/>
        <v>38</v>
      </c>
      <c r="W52" s="200">
        <f t="shared" si="12"/>
        <v>3.1666666666666665</v>
      </c>
      <c r="X52" s="6">
        <f t="shared" si="21"/>
        <v>0</v>
      </c>
      <c r="Y52" s="6">
        <f t="shared" si="22"/>
        <v>0</v>
      </c>
      <c r="Z52" s="6">
        <f t="shared" si="26"/>
        <v>0</v>
      </c>
      <c r="AA52" s="6">
        <f t="shared" si="13"/>
        <v>0</v>
      </c>
      <c r="AB52" s="6">
        <f t="shared" si="14"/>
        <v>0</v>
      </c>
      <c r="AC52" s="6">
        <f t="shared" si="23"/>
        <v>0</v>
      </c>
    </row>
    <row r="53" spans="1:29" x14ac:dyDescent="0.25">
      <c r="A53">
        <v>39</v>
      </c>
      <c r="B53">
        <f t="shared" si="3"/>
        <v>39</v>
      </c>
      <c r="C53" s="200">
        <f t="shared" si="4"/>
        <v>3.25</v>
      </c>
      <c r="D53" s="6">
        <f t="shared" si="15"/>
        <v>0</v>
      </c>
      <c r="E53" s="6">
        <f t="shared" si="16"/>
        <v>0</v>
      </c>
      <c r="F53" s="6">
        <f t="shared" si="24"/>
        <v>0</v>
      </c>
      <c r="G53" s="6">
        <f t="shared" si="5"/>
        <v>0</v>
      </c>
      <c r="H53" s="6">
        <f t="shared" si="6"/>
        <v>0</v>
      </c>
      <c r="I53" s="6">
        <f t="shared" si="17"/>
        <v>0</v>
      </c>
      <c r="K53">
        <v>39</v>
      </c>
      <c r="L53">
        <f t="shared" si="7"/>
        <v>39</v>
      </c>
      <c r="M53" s="200">
        <f t="shared" si="8"/>
        <v>3.25</v>
      </c>
      <c r="N53" s="6">
        <f t="shared" si="18"/>
        <v>0</v>
      </c>
      <c r="O53" s="6">
        <f t="shared" si="19"/>
        <v>0</v>
      </c>
      <c r="P53" s="6">
        <f t="shared" si="25"/>
        <v>0</v>
      </c>
      <c r="Q53" s="6">
        <f t="shared" si="9"/>
        <v>0</v>
      </c>
      <c r="R53" s="6">
        <f t="shared" si="10"/>
        <v>0</v>
      </c>
      <c r="S53" s="6">
        <f t="shared" si="20"/>
        <v>0</v>
      </c>
      <c r="U53">
        <v>39</v>
      </c>
      <c r="V53">
        <f t="shared" si="11"/>
        <v>39</v>
      </c>
      <c r="W53" s="200">
        <f t="shared" si="12"/>
        <v>3.25</v>
      </c>
      <c r="X53" s="6">
        <f t="shared" si="21"/>
        <v>0</v>
      </c>
      <c r="Y53" s="6">
        <f t="shared" si="22"/>
        <v>0</v>
      </c>
      <c r="Z53" s="6">
        <f t="shared" si="26"/>
        <v>0</v>
      </c>
      <c r="AA53" s="6">
        <f t="shared" si="13"/>
        <v>0</v>
      </c>
      <c r="AB53" s="6">
        <f t="shared" si="14"/>
        <v>0</v>
      </c>
      <c r="AC53" s="6">
        <f t="shared" si="23"/>
        <v>0</v>
      </c>
    </row>
    <row r="54" spans="1:29" x14ac:dyDescent="0.25">
      <c r="A54">
        <v>40</v>
      </c>
      <c r="B54">
        <f t="shared" si="3"/>
        <v>40</v>
      </c>
      <c r="C54" s="200">
        <f t="shared" si="4"/>
        <v>3.3333333333333335</v>
      </c>
      <c r="D54" s="6">
        <f t="shared" si="15"/>
        <v>0</v>
      </c>
      <c r="E54" s="6">
        <f t="shared" si="16"/>
        <v>0</v>
      </c>
      <c r="F54" s="6">
        <f t="shared" si="24"/>
        <v>0</v>
      </c>
      <c r="G54" s="6">
        <f t="shared" si="5"/>
        <v>0</v>
      </c>
      <c r="H54" s="6">
        <f t="shared" si="6"/>
        <v>0</v>
      </c>
      <c r="I54" s="6">
        <f t="shared" si="17"/>
        <v>0</v>
      </c>
      <c r="K54">
        <v>40</v>
      </c>
      <c r="L54">
        <f t="shared" si="7"/>
        <v>40</v>
      </c>
      <c r="M54" s="200">
        <f t="shared" si="8"/>
        <v>3.3333333333333335</v>
      </c>
      <c r="N54" s="6">
        <f t="shared" si="18"/>
        <v>0</v>
      </c>
      <c r="O54" s="6">
        <f t="shared" si="19"/>
        <v>0</v>
      </c>
      <c r="P54" s="6">
        <f t="shared" si="25"/>
        <v>0</v>
      </c>
      <c r="Q54" s="6">
        <f t="shared" si="9"/>
        <v>0</v>
      </c>
      <c r="R54" s="6">
        <f t="shared" si="10"/>
        <v>0</v>
      </c>
      <c r="S54" s="6">
        <f t="shared" si="20"/>
        <v>0</v>
      </c>
      <c r="U54">
        <v>40</v>
      </c>
      <c r="V54">
        <f t="shared" si="11"/>
        <v>40</v>
      </c>
      <c r="W54" s="200">
        <f t="shared" si="12"/>
        <v>3.3333333333333335</v>
      </c>
      <c r="X54" s="6">
        <f t="shared" si="21"/>
        <v>0</v>
      </c>
      <c r="Y54" s="6">
        <f t="shared" si="22"/>
        <v>0</v>
      </c>
      <c r="Z54" s="6">
        <f t="shared" si="26"/>
        <v>0</v>
      </c>
      <c r="AA54" s="6">
        <f t="shared" si="13"/>
        <v>0</v>
      </c>
      <c r="AB54" s="6">
        <f t="shared" si="14"/>
        <v>0</v>
      </c>
      <c r="AC54" s="6">
        <f t="shared" si="23"/>
        <v>0</v>
      </c>
    </row>
    <row r="55" spans="1:29" x14ac:dyDescent="0.25">
      <c r="A55">
        <v>41</v>
      </c>
      <c r="B55">
        <f t="shared" si="3"/>
        <v>41</v>
      </c>
      <c r="C55" s="200">
        <f t="shared" si="4"/>
        <v>3.4166666666666665</v>
      </c>
      <c r="D55" s="6">
        <f t="shared" si="15"/>
        <v>0</v>
      </c>
      <c r="E55" s="6">
        <f t="shared" si="16"/>
        <v>0</v>
      </c>
      <c r="F55" s="6">
        <f t="shared" si="24"/>
        <v>0</v>
      </c>
      <c r="G55" s="6">
        <f t="shared" si="5"/>
        <v>0</v>
      </c>
      <c r="H55" s="6">
        <f t="shared" si="6"/>
        <v>0</v>
      </c>
      <c r="I55" s="6">
        <f t="shared" si="17"/>
        <v>0</v>
      </c>
      <c r="K55">
        <v>41</v>
      </c>
      <c r="L55">
        <f t="shared" si="7"/>
        <v>41</v>
      </c>
      <c r="M55" s="200">
        <f t="shared" si="8"/>
        <v>3.4166666666666665</v>
      </c>
      <c r="N55" s="6">
        <f t="shared" si="18"/>
        <v>0</v>
      </c>
      <c r="O55" s="6">
        <f t="shared" si="19"/>
        <v>0</v>
      </c>
      <c r="P55" s="6">
        <f t="shared" si="25"/>
        <v>0</v>
      </c>
      <c r="Q55" s="6">
        <f t="shared" si="9"/>
        <v>0</v>
      </c>
      <c r="R55" s="6">
        <f t="shared" si="10"/>
        <v>0</v>
      </c>
      <c r="S55" s="6">
        <f t="shared" si="20"/>
        <v>0</v>
      </c>
      <c r="U55">
        <v>41</v>
      </c>
      <c r="V55">
        <f t="shared" si="11"/>
        <v>41</v>
      </c>
      <c r="W55" s="200">
        <f t="shared" si="12"/>
        <v>3.4166666666666665</v>
      </c>
      <c r="X55" s="6">
        <f t="shared" si="21"/>
        <v>0</v>
      </c>
      <c r="Y55" s="6">
        <f t="shared" si="22"/>
        <v>0</v>
      </c>
      <c r="Z55" s="6">
        <f t="shared" si="26"/>
        <v>0</v>
      </c>
      <c r="AA55" s="6">
        <f t="shared" si="13"/>
        <v>0</v>
      </c>
      <c r="AB55" s="6">
        <f t="shared" si="14"/>
        <v>0</v>
      </c>
      <c r="AC55" s="6">
        <f t="shared" si="23"/>
        <v>0</v>
      </c>
    </row>
    <row r="56" spans="1:29" x14ac:dyDescent="0.25">
      <c r="A56">
        <v>42</v>
      </c>
      <c r="B56">
        <f t="shared" si="3"/>
        <v>42</v>
      </c>
      <c r="C56" s="200">
        <f t="shared" si="4"/>
        <v>3.5</v>
      </c>
      <c r="D56" s="6">
        <f t="shared" si="15"/>
        <v>0</v>
      </c>
      <c r="E56" s="6">
        <f t="shared" si="16"/>
        <v>0</v>
      </c>
      <c r="F56" s="6">
        <f t="shared" si="24"/>
        <v>0</v>
      </c>
      <c r="G56" s="6">
        <f t="shared" si="5"/>
        <v>0</v>
      </c>
      <c r="H56" s="6">
        <f t="shared" si="6"/>
        <v>0</v>
      </c>
      <c r="I56" s="6">
        <f t="shared" si="17"/>
        <v>0</v>
      </c>
      <c r="K56">
        <v>42</v>
      </c>
      <c r="L56">
        <f t="shared" si="7"/>
        <v>42</v>
      </c>
      <c r="M56" s="200">
        <f t="shared" si="8"/>
        <v>3.5</v>
      </c>
      <c r="N56" s="6">
        <f t="shared" si="18"/>
        <v>0</v>
      </c>
      <c r="O56" s="6">
        <f t="shared" si="19"/>
        <v>0</v>
      </c>
      <c r="P56" s="6">
        <f t="shared" si="25"/>
        <v>0</v>
      </c>
      <c r="Q56" s="6">
        <f t="shared" si="9"/>
        <v>0</v>
      </c>
      <c r="R56" s="6">
        <f t="shared" si="10"/>
        <v>0</v>
      </c>
      <c r="S56" s="6">
        <f t="shared" si="20"/>
        <v>0</v>
      </c>
      <c r="U56">
        <v>42</v>
      </c>
      <c r="V56">
        <f t="shared" si="11"/>
        <v>42</v>
      </c>
      <c r="W56" s="200">
        <f t="shared" si="12"/>
        <v>3.5</v>
      </c>
      <c r="X56" s="6">
        <f t="shared" si="21"/>
        <v>0</v>
      </c>
      <c r="Y56" s="6">
        <f t="shared" si="22"/>
        <v>0</v>
      </c>
      <c r="Z56" s="6">
        <f t="shared" si="26"/>
        <v>0</v>
      </c>
      <c r="AA56" s="6">
        <f t="shared" si="13"/>
        <v>0</v>
      </c>
      <c r="AB56" s="6">
        <f t="shared" si="14"/>
        <v>0</v>
      </c>
      <c r="AC56" s="6">
        <f t="shared" si="23"/>
        <v>0</v>
      </c>
    </row>
    <row r="57" spans="1:29" x14ac:dyDescent="0.25">
      <c r="A57">
        <v>43</v>
      </c>
      <c r="B57">
        <f t="shared" si="3"/>
        <v>43</v>
      </c>
      <c r="C57" s="200">
        <f t="shared" si="4"/>
        <v>3.5833333333333335</v>
      </c>
      <c r="D57" s="6">
        <f t="shared" si="15"/>
        <v>0</v>
      </c>
      <c r="E57" s="6">
        <f t="shared" si="16"/>
        <v>0</v>
      </c>
      <c r="F57" s="6">
        <f t="shared" si="24"/>
        <v>0</v>
      </c>
      <c r="G57" s="6">
        <f t="shared" si="5"/>
        <v>0</v>
      </c>
      <c r="H57" s="6">
        <f t="shared" si="6"/>
        <v>0</v>
      </c>
      <c r="I57" s="6">
        <f t="shared" si="17"/>
        <v>0</v>
      </c>
      <c r="K57">
        <v>43</v>
      </c>
      <c r="L57">
        <f t="shared" si="7"/>
        <v>43</v>
      </c>
      <c r="M57" s="200">
        <f t="shared" si="8"/>
        <v>3.5833333333333335</v>
      </c>
      <c r="N57" s="6">
        <f t="shared" si="18"/>
        <v>0</v>
      </c>
      <c r="O57" s="6">
        <f t="shared" si="19"/>
        <v>0</v>
      </c>
      <c r="P57" s="6">
        <f t="shared" si="25"/>
        <v>0</v>
      </c>
      <c r="Q57" s="6">
        <f t="shared" si="9"/>
        <v>0</v>
      </c>
      <c r="R57" s="6">
        <f t="shared" si="10"/>
        <v>0</v>
      </c>
      <c r="S57" s="6">
        <f t="shared" si="20"/>
        <v>0</v>
      </c>
      <c r="U57">
        <v>43</v>
      </c>
      <c r="V57">
        <f t="shared" si="11"/>
        <v>43</v>
      </c>
      <c r="W57" s="200">
        <f t="shared" si="12"/>
        <v>3.5833333333333335</v>
      </c>
      <c r="X57" s="6">
        <f t="shared" si="21"/>
        <v>0</v>
      </c>
      <c r="Y57" s="6">
        <f t="shared" si="22"/>
        <v>0</v>
      </c>
      <c r="Z57" s="6">
        <f t="shared" si="26"/>
        <v>0</v>
      </c>
      <c r="AA57" s="6">
        <f t="shared" si="13"/>
        <v>0</v>
      </c>
      <c r="AB57" s="6">
        <f t="shared" si="14"/>
        <v>0</v>
      </c>
      <c r="AC57" s="6">
        <f t="shared" si="23"/>
        <v>0</v>
      </c>
    </row>
    <row r="58" spans="1:29" x14ac:dyDescent="0.25">
      <c r="A58">
        <v>44</v>
      </c>
      <c r="B58">
        <f t="shared" si="3"/>
        <v>44</v>
      </c>
      <c r="C58" s="200">
        <f t="shared" si="4"/>
        <v>3.6666666666666665</v>
      </c>
      <c r="D58" s="6">
        <f t="shared" si="15"/>
        <v>0</v>
      </c>
      <c r="E58" s="6">
        <f t="shared" si="16"/>
        <v>0</v>
      </c>
      <c r="F58" s="6">
        <f t="shared" si="24"/>
        <v>0</v>
      </c>
      <c r="G58" s="6">
        <f t="shared" si="5"/>
        <v>0</v>
      </c>
      <c r="H58" s="6">
        <f t="shared" si="6"/>
        <v>0</v>
      </c>
      <c r="I58" s="6">
        <f t="shared" si="17"/>
        <v>0</v>
      </c>
      <c r="K58">
        <v>44</v>
      </c>
      <c r="L58">
        <f t="shared" si="7"/>
        <v>44</v>
      </c>
      <c r="M58" s="200">
        <f t="shared" si="8"/>
        <v>3.6666666666666665</v>
      </c>
      <c r="N58" s="6">
        <f t="shared" si="18"/>
        <v>0</v>
      </c>
      <c r="O58" s="6">
        <f t="shared" si="19"/>
        <v>0</v>
      </c>
      <c r="P58" s="6">
        <f t="shared" si="25"/>
        <v>0</v>
      </c>
      <c r="Q58" s="6">
        <f t="shared" si="9"/>
        <v>0</v>
      </c>
      <c r="R58" s="6">
        <f t="shared" si="10"/>
        <v>0</v>
      </c>
      <c r="S58" s="6">
        <f t="shared" si="20"/>
        <v>0</v>
      </c>
      <c r="U58">
        <v>44</v>
      </c>
      <c r="V58">
        <f t="shared" si="11"/>
        <v>44</v>
      </c>
      <c r="W58" s="200">
        <f t="shared" si="12"/>
        <v>3.6666666666666665</v>
      </c>
      <c r="X58" s="6">
        <f t="shared" si="21"/>
        <v>0</v>
      </c>
      <c r="Y58" s="6">
        <f t="shared" si="22"/>
        <v>0</v>
      </c>
      <c r="Z58" s="6">
        <f t="shared" si="26"/>
        <v>0</v>
      </c>
      <c r="AA58" s="6">
        <f t="shared" si="13"/>
        <v>0</v>
      </c>
      <c r="AB58" s="6">
        <f t="shared" si="14"/>
        <v>0</v>
      </c>
      <c r="AC58" s="6">
        <f t="shared" si="23"/>
        <v>0</v>
      </c>
    </row>
    <row r="59" spans="1:29" x14ac:dyDescent="0.25">
      <c r="A59">
        <v>45</v>
      </c>
      <c r="B59">
        <f t="shared" si="3"/>
        <v>45</v>
      </c>
      <c r="C59" s="200">
        <f t="shared" si="4"/>
        <v>3.75</v>
      </c>
      <c r="D59" s="6">
        <f t="shared" si="15"/>
        <v>0</v>
      </c>
      <c r="E59" s="6">
        <f t="shared" si="16"/>
        <v>0</v>
      </c>
      <c r="F59" s="6">
        <f t="shared" si="24"/>
        <v>0</v>
      </c>
      <c r="G59" s="6">
        <f t="shared" si="5"/>
        <v>0</v>
      </c>
      <c r="H59" s="6">
        <f t="shared" si="6"/>
        <v>0</v>
      </c>
      <c r="I59" s="6">
        <f t="shared" si="17"/>
        <v>0</v>
      </c>
      <c r="K59">
        <v>45</v>
      </c>
      <c r="L59">
        <f t="shared" si="7"/>
        <v>45</v>
      </c>
      <c r="M59" s="200">
        <f t="shared" si="8"/>
        <v>3.75</v>
      </c>
      <c r="N59" s="6">
        <f t="shared" si="18"/>
        <v>0</v>
      </c>
      <c r="O59" s="6">
        <f t="shared" si="19"/>
        <v>0</v>
      </c>
      <c r="P59" s="6">
        <f t="shared" si="25"/>
        <v>0</v>
      </c>
      <c r="Q59" s="6">
        <f t="shared" si="9"/>
        <v>0</v>
      </c>
      <c r="R59" s="6">
        <f t="shared" si="10"/>
        <v>0</v>
      </c>
      <c r="S59" s="6">
        <f t="shared" si="20"/>
        <v>0</v>
      </c>
      <c r="U59">
        <v>45</v>
      </c>
      <c r="V59">
        <f t="shared" si="11"/>
        <v>45</v>
      </c>
      <c r="W59" s="200">
        <f t="shared" si="12"/>
        <v>3.75</v>
      </c>
      <c r="X59" s="6">
        <f t="shared" si="21"/>
        <v>0</v>
      </c>
      <c r="Y59" s="6">
        <f t="shared" si="22"/>
        <v>0</v>
      </c>
      <c r="Z59" s="6">
        <f t="shared" si="26"/>
        <v>0</v>
      </c>
      <c r="AA59" s="6">
        <f t="shared" si="13"/>
        <v>0</v>
      </c>
      <c r="AB59" s="6">
        <f t="shared" si="14"/>
        <v>0</v>
      </c>
      <c r="AC59" s="6">
        <f t="shared" si="23"/>
        <v>0</v>
      </c>
    </row>
    <row r="60" spans="1:29" x14ac:dyDescent="0.25">
      <c r="A60">
        <v>46</v>
      </c>
      <c r="B60">
        <f t="shared" si="3"/>
        <v>46</v>
      </c>
      <c r="C60" s="200">
        <f t="shared" si="4"/>
        <v>3.8333333333333335</v>
      </c>
      <c r="D60" s="6">
        <f t="shared" si="15"/>
        <v>0</v>
      </c>
      <c r="E60" s="6">
        <f t="shared" si="16"/>
        <v>0</v>
      </c>
      <c r="F60" s="6">
        <f t="shared" si="24"/>
        <v>0</v>
      </c>
      <c r="G60" s="6">
        <f t="shared" si="5"/>
        <v>0</v>
      </c>
      <c r="H60" s="6">
        <f t="shared" si="6"/>
        <v>0</v>
      </c>
      <c r="I60" s="6">
        <f t="shared" si="17"/>
        <v>0</v>
      </c>
      <c r="K60">
        <v>46</v>
      </c>
      <c r="L60">
        <f t="shared" si="7"/>
        <v>46</v>
      </c>
      <c r="M60" s="200">
        <f t="shared" si="8"/>
        <v>3.8333333333333335</v>
      </c>
      <c r="N60" s="6">
        <f t="shared" si="18"/>
        <v>0</v>
      </c>
      <c r="O60" s="6">
        <f t="shared" si="19"/>
        <v>0</v>
      </c>
      <c r="P60" s="6">
        <f t="shared" si="25"/>
        <v>0</v>
      </c>
      <c r="Q60" s="6">
        <f t="shared" si="9"/>
        <v>0</v>
      </c>
      <c r="R60" s="6">
        <f t="shared" si="10"/>
        <v>0</v>
      </c>
      <c r="S60" s="6">
        <f t="shared" si="20"/>
        <v>0</v>
      </c>
      <c r="U60">
        <v>46</v>
      </c>
      <c r="V60">
        <f t="shared" si="11"/>
        <v>46</v>
      </c>
      <c r="W60" s="200">
        <f t="shared" si="12"/>
        <v>3.8333333333333335</v>
      </c>
      <c r="X60" s="6">
        <f t="shared" si="21"/>
        <v>0</v>
      </c>
      <c r="Y60" s="6">
        <f t="shared" si="22"/>
        <v>0</v>
      </c>
      <c r="Z60" s="6">
        <f t="shared" si="26"/>
        <v>0</v>
      </c>
      <c r="AA60" s="6">
        <f t="shared" si="13"/>
        <v>0</v>
      </c>
      <c r="AB60" s="6">
        <f t="shared" si="14"/>
        <v>0</v>
      </c>
      <c r="AC60" s="6">
        <f t="shared" si="23"/>
        <v>0</v>
      </c>
    </row>
    <row r="61" spans="1:29" x14ac:dyDescent="0.25">
      <c r="A61">
        <v>47</v>
      </c>
      <c r="B61">
        <f t="shared" si="3"/>
        <v>47</v>
      </c>
      <c r="C61" s="200">
        <f t="shared" si="4"/>
        <v>3.9166666666666665</v>
      </c>
      <c r="D61" s="6">
        <f t="shared" si="15"/>
        <v>0</v>
      </c>
      <c r="E61" s="6">
        <f t="shared" si="16"/>
        <v>0</v>
      </c>
      <c r="F61" s="6">
        <f t="shared" si="24"/>
        <v>0</v>
      </c>
      <c r="G61" s="6">
        <f t="shared" si="5"/>
        <v>0</v>
      </c>
      <c r="H61" s="6">
        <f t="shared" si="6"/>
        <v>0</v>
      </c>
      <c r="I61" s="6">
        <f t="shared" si="17"/>
        <v>0</v>
      </c>
      <c r="K61">
        <v>47</v>
      </c>
      <c r="L61">
        <f t="shared" si="7"/>
        <v>47</v>
      </c>
      <c r="M61" s="200">
        <f t="shared" si="8"/>
        <v>3.9166666666666665</v>
      </c>
      <c r="N61" s="6">
        <f t="shared" si="18"/>
        <v>0</v>
      </c>
      <c r="O61" s="6">
        <f t="shared" si="19"/>
        <v>0</v>
      </c>
      <c r="P61" s="6">
        <f t="shared" si="25"/>
        <v>0</v>
      </c>
      <c r="Q61" s="6">
        <f t="shared" si="9"/>
        <v>0</v>
      </c>
      <c r="R61" s="6">
        <f t="shared" si="10"/>
        <v>0</v>
      </c>
      <c r="S61" s="6">
        <f t="shared" si="20"/>
        <v>0</v>
      </c>
      <c r="U61">
        <v>47</v>
      </c>
      <c r="V61">
        <f t="shared" si="11"/>
        <v>47</v>
      </c>
      <c r="W61" s="200">
        <f t="shared" si="12"/>
        <v>3.9166666666666665</v>
      </c>
      <c r="X61" s="6">
        <f t="shared" si="21"/>
        <v>0</v>
      </c>
      <c r="Y61" s="6">
        <f t="shared" si="22"/>
        <v>0</v>
      </c>
      <c r="Z61" s="6">
        <f t="shared" si="26"/>
        <v>0</v>
      </c>
      <c r="AA61" s="6">
        <f t="shared" si="13"/>
        <v>0</v>
      </c>
      <c r="AB61" s="6">
        <f t="shared" si="14"/>
        <v>0</v>
      </c>
      <c r="AC61" s="6">
        <f t="shared" si="23"/>
        <v>0</v>
      </c>
    </row>
    <row r="62" spans="1:29" x14ac:dyDescent="0.25">
      <c r="A62">
        <v>48</v>
      </c>
      <c r="B62">
        <f t="shared" si="3"/>
        <v>48</v>
      </c>
      <c r="C62" s="200">
        <f t="shared" si="4"/>
        <v>4</v>
      </c>
      <c r="D62" s="6">
        <f t="shared" si="15"/>
        <v>0</v>
      </c>
      <c r="E62" s="6">
        <f t="shared" si="16"/>
        <v>0</v>
      </c>
      <c r="F62" s="6">
        <f t="shared" si="24"/>
        <v>0</v>
      </c>
      <c r="G62" s="6">
        <f t="shared" si="5"/>
        <v>0</v>
      </c>
      <c r="H62" s="6">
        <f t="shared" si="6"/>
        <v>0</v>
      </c>
      <c r="I62" s="6">
        <f t="shared" si="17"/>
        <v>0</v>
      </c>
      <c r="K62">
        <v>48</v>
      </c>
      <c r="L62">
        <f t="shared" si="7"/>
        <v>48</v>
      </c>
      <c r="M62" s="200">
        <f t="shared" si="8"/>
        <v>4</v>
      </c>
      <c r="N62" s="6">
        <f t="shared" si="18"/>
        <v>0</v>
      </c>
      <c r="O62" s="6">
        <f t="shared" si="19"/>
        <v>0</v>
      </c>
      <c r="P62" s="6">
        <f t="shared" si="25"/>
        <v>0</v>
      </c>
      <c r="Q62" s="6">
        <f t="shared" si="9"/>
        <v>0</v>
      </c>
      <c r="R62" s="6">
        <f t="shared" si="10"/>
        <v>0</v>
      </c>
      <c r="S62" s="6">
        <f t="shared" si="20"/>
        <v>0</v>
      </c>
      <c r="U62">
        <v>48</v>
      </c>
      <c r="V62">
        <f t="shared" si="11"/>
        <v>48</v>
      </c>
      <c r="W62" s="200">
        <f t="shared" si="12"/>
        <v>4</v>
      </c>
      <c r="X62" s="6">
        <f t="shared" si="21"/>
        <v>0</v>
      </c>
      <c r="Y62" s="6">
        <f t="shared" si="22"/>
        <v>0</v>
      </c>
      <c r="Z62" s="6">
        <f t="shared" si="26"/>
        <v>0</v>
      </c>
      <c r="AA62" s="6">
        <f t="shared" si="13"/>
        <v>0</v>
      </c>
      <c r="AB62" s="6">
        <f t="shared" si="14"/>
        <v>0</v>
      </c>
      <c r="AC62" s="6">
        <f t="shared" si="23"/>
        <v>0</v>
      </c>
    </row>
    <row r="63" spans="1:29" x14ac:dyDescent="0.25">
      <c r="A63">
        <v>49</v>
      </c>
      <c r="B63">
        <f t="shared" si="3"/>
        <v>49</v>
      </c>
      <c r="C63" s="200">
        <f t="shared" si="4"/>
        <v>4.083333333333333</v>
      </c>
      <c r="D63" s="6">
        <f t="shared" si="15"/>
        <v>0</v>
      </c>
      <c r="E63" s="6">
        <f t="shared" si="16"/>
        <v>0</v>
      </c>
      <c r="F63" s="6">
        <f t="shared" si="24"/>
        <v>0</v>
      </c>
      <c r="G63" s="6">
        <f t="shared" si="5"/>
        <v>0</v>
      </c>
      <c r="H63" s="6">
        <f t="shared" si="6"/>
        <v>0</v>
      </c>
      <c r="I63" s="6">
        <f t="shared" si="17"/>
        <v>0</v>
      </c>
      <c r="K63">
        <v>49</v>
      </c>
      <c r="L63">
        <f t="shared" si="7"/>
        <v>49</v>
      </c>
      <c r="M63" s="200">
        <f t="shared" si="8"/>
        <v>4.083333333333333</v>
      </c>
      <c r="N63" s="6">
        <f t="shared" si="18"/>
        <v>0</v>
      </c>
      <c r="O63" s="6">
        <f t="shared" si="19"/>
        <v>0</v>
      </c>
      <c r="P63" s="6">
        <f t="shared" si="25"/>
        <v>0</v>
      </c>
      <c r="Q63" s="6">
        <f t="shared" si="9"/>
        <v>0</v>
      </c>
      <c r="R63" s="6">
        <f t="shared" si="10"/>
        <v>0</v>
      </c>
      <c r="S63" s="6">
        <f t="shared" si="20"/>
        <v>0</v>
      </c>
      <c r="U63">
        <v>49</v>
      </c>
      <c r="V63">
        <f t="shared" si="11"/>
        <v>49</v>
      </c>
      <c r="W63" s="200">
        <f t="shared" si="12"/>
        <v>4.083333333333333</v>
      </c>
      <c r="X63" s="6">
        <f t="shared" si="21"/>
        <v>0</v>
      </c>
      <c r="Y63" s="6">
        <f t="shared" si="22"/>
        <v>0</v>
      </c>
      <c r="Z63" s="6">
        <f t="shared" si="26"/>
        <v>0</v>
      </c>
      <c r="AA63" s="6">
        <f t="shared" si="13"/>
        <v>0</v>
      </c>
      <c r="AB63" s="6">
        <f t="shared" si="14"/>
        <v>0</v>
      </c>
      <c r="AC63" s="6">
        <f t="shared" si="23"/>
        <v>0</v>
      </c>
    </row>
    <row r="64" spans="1:29" x14ac:dyDescent="0.25">
      <c r="A64">
        <v>50</v>
      </c>
      <c r="B64">
        <f t="shared" si="3"/>
        <v>50</v>
      </c>
      <c r="C64" s="200">
        <f t="shared" si="4"/>
        <v>4.166666666666667</v>
      </c>
      <c r="D64" s="6">
        <f t="shared" si="15"/>
        <v>0</v>
      </c>
      <c r="E64" s="6">
        <f t="shared" si="16"/>
        <v>0</v>
      </c>
      <c r="F64" s="6">
        <f t="shared" si="24"/>
        <v>0</v>
      </c>
      <c r="G64" s="6">
        <f t="shared" si="5"/>
        <v>0</v>
      </c>
      <c r="H64" s="6">
        <f t="shared" si="6"/>
        <v>0</v>
      </c>
      <c r="I64" s="6">
        <f t="shared" si="17"/>
        <v>0</v>
      </c>
      <c r="K64">
        <v>50</v>
      </c>
      <c r="L64">
        <f t="shared" si="7"/>
        <v>50</v>
      </c>
      <c r="M64" s="200">
        <f t="shared" si="8"/>
        <v>4.166666666666667</v>
      </c>
      <c r="N64" s="6">
        <f t="shared" si="18"/>
        <v>0</v>
      </c>
      <c r="O64" s="6">
        <f t="shared" si="19"/>
        <v>0</v>
      </c>
      <c r="P64" s="6">
        <f t="shared" si="25"/>
        <v>0</v>
      </c>
      <c r="Q64" s="6">
        <f t="shared" si="9"/>
        <v>0</v>
      </c>
      <c r="R64" s="6">
        <f t="shared" si="10"/>
        <v>0</v>
      </c>
      <c r="S64" s="6">
        <f t="shared" si="20"/>
        <v>0</v>
      </c>
      <c r="U64">
        <v>50</v>
      </c>
      <c r="V64">
        <f t="shared" si="11"/>
        <v>50</v>
      </c>
      <c r="W64" s="200">
        <f t="shared" si="12"/>
        <v>4.166666666666667</v>
      </c>
      <c r="X64" s="6">
        <f t="shared" si="21"/>
        <v>0</v>
      </c>
      <c r="Y64" s="6">
        <f t="shared" si="22"/>
        <v>0</v>
      </c>
      <c r="Z64" s="6">
        <f t="shared" si="26"/>
        <v>0</v>
      </c>
      <c r="AA64" s="6">
        <f t="shared" si="13"/>
        <v>0</v>
      </c>
      <c r="AB64" s="6">
        <f t="shared" si="14"/>
        <v>0</v>
      </c>
      <c r="AC64" s="6">
        <f t="shared" si="23"/>
        <v>0</v>
      </c>
    </row>
    <row r="65" spans="1:29" x14ac:dyDescent="0.25">
      <c r="A65">
        <v>51</v>
      </c>
      <c r="B65">
        <f t="shared" si="3"/>
        <v>51</v>
      </c>
      <c r="C65" s="200">
        <f t="shared" si="4"/>
        <v>4.25</v>
      </c>
      <c r="D65" s="6">
        <f t="shared" si="15"/>
        <v>0</v>
      </c>
      <c r="E65" s="6">
        <f t="shared" si="16"/>
        <v>0</v>
      </c>
      <c r="F65" s="6">
        <f t="shared" si="24"/>
        <v>0</v>
      </c>
      <c r="G65" s="6">
        <f t="shared" si="5"/>
        <v>0</v>
      </c>
      <c r="H65" s="6">
        <f t="shared" si="6"/>
        <v>0</v>
      </c>
      <c r="I65" s="6">
        <f t="shared" si="17"/>
        <v>0</v>
      </c>
      <c r="K65">
        <v>51</v>
      </c>
      <c r="L65">
        <f t="shared" si="7"/>
        <v>51</v>
      </c>
      <c r="M65" s="200">
        <f t="shared" si="8"/>
        <v>4.25</v>
      </c>
      <c r="N65" s="6">
        <f t="shared" si="18"/>
        <v>0</v>
      </c>
      <c r="O65" s="6">
        <f t="shared" si="19"/>
        <v>0</v>
      </c>
      <c r="P65" s="6">
        <f t="shared" si="25"/>
        <v>0</v>
      </c>
      <c r="Q65" s="6">
        <f t="shared" si="9"/>
        <v>0</v>
      </c>
      <c r="R65" s="6">
        <f t="shared" si="10"/>
        <v>0</v>
      </c>
      <c r="S65" s="6">
        <f t="shared" si="20"/>
        <v>0</v>
      </c>
      <c r="U65">
        <v>51</v>
      </c>
      <c r="V65">
        <f t="shared" si="11"/>
        <v>51</v>
      </c>
      <c r="W65" s="200">
        <f t="shared" si="12"/>
        <v>4.25</v>
      </c>
      <c r="X65" s="6">
        <f t="shared" si="21"/>
        <v>0</v>
      </c>
      <c r="Y65" s="6">
        <f t="shared" si="22"/>
        <v>0</v>
      </c>
      <c r="Z65" s="6">
        <f t="shared" si="26"/>
        <v>0</v>
      </c>
      <c r="AA65" s="6">
        <f t="shared" si="13"/>
        <v>0</v>
      </c>
      <c r="AB65" s="6">
        <f t="shared" si="14"/>
        <v>0</v>
      </c>
      <c r="AC65" s="6">
        <f t="shared" si="23"/>
        <v>0</v>
      </c>
    </row>
    <row r="66" spans="1:29" x14ac:dyDescent="0.25">
      <c r="A66">
        <v>52</v>
      </c>
      <c r="B66">
        <f t="shared" si="3"/>
        <v>52</v>
      </c>
      <c r="C66" s="200">
        <f t="shared" si="4"/>
        <v>4.333333333333333</v>
      </c>
      <c r="D66" s="6">
        <f t="shared" si="15"/>
        <v>0</v>
      </c>
      <c r="E66" s="6">
        <f t="shared" si="16"/>
        <v>0</v>
      </c>
      <c r="F66" s="6">
        <f t="shared" si="24"/>
        <v>0</v>
      </c>
      <c r="G66" s="6">
        <f t="shared" si="5"/>
        <v>0</v>
      </c>
      <c r="H66" s="6">
        <f t="shared" si="6"/>
        <v>0</v>
      </c>
      <c r="I66" s="6">
        <f t="shared" si="17"/>
        <v>0</v>
      </c>
      <c r="K66">
        <v>52</v>
      </c>
      <c r="L66">
        <f t="shared" si="7"/>
        <v>52</v>
      </c>
      <c r="M66" s="200">
        <f t="shared" si="8"/>
        <v>4.333333333333333</v>
      </c>
      <c r="N66" s="6">
        <f t="shared" si="18"/>
        <v>0</v>
      </c>
      <c r="O66" s="6">
        <f t="shared" si="19"/>
        <v>0</v>
      </c>
      <c r="P66" s="6">
        <f t="shared" si="25"/>
        <v>0</v>
      </c>
      <c r="Q66" s="6">
        <f t="shared" si="9"/>
        <v>0</v>
      </c>
      <c r="R66" s="6">
        <f t="shared" si="10"/>
        <v>0</v>
      </c>
      <c r="S66" s="6">
        <f t="shared" si="20"/>
        <v>0</v>
      </c>
      <c r="U66">
        <v>52</v>
      </c>
      <c r="V66">
        <f t="shared" si="11"/>
        <v>52</v>
      </c>
      <c r="W66" s="200">
        <f t="shared" si="12"/>
        <v>4.333333333333333</v>
      </c>
      <c r="X66" s="6">
        <f t="shared" si="21"/>
        <v>0</v>
      </c>
      <c r="Y66" s="6">
        <f t="shared" si="22"/>
        <v>0</v>
      </c>
      <c r="Z66" s="6">
        <f t="shared" si="26"/>
        <v>0</v>
      </c>
      <c r="AA66" s="6">
        <f t="shared" si="13"/>
        <v>0</v>
      </c>
      <c r="AB66" s="6">
        <f t="shared" si="14"/>
        <v>0</v>
      </c>
      <c r="AC66" s="6">
        <f t="shared" si="23"/>
        <v>0</v>
      </c>
    </row>
    <row r="67" spans="1:29" x14ac:dyDescent="0.25">
      <c r="A67">
        <v>53</v>
      </c>
      <c r="B67">
        <f t="shared" si="3"/>
        <v>53</v>
      </c>
      <c r="C67" s="200">
        <f t="shared" si="4"/>
        <v>4.416666666666667</v>
      </c>
      <c r="D67" s="6">
        <f t="shared" si="15"/>
        <v>0</v>
      </c>
      <c r="E67" s="6">
        <f t="shared" si="16"/>
        <v>0</v>
      </c>
      <c r="F67" s="6">
        <f t="shared" si="24"/>
        <v>0</v>
      </c>
      <c r="G67" s="6">
        <f t="shared" si="5"/>
        <v>0</v>
      </c>
      <c r="H67" s="6">
        <f t="shared" si="6"/>
        <v>0</v>
      </c>
      <c r="I67" s="6">
        <f t="shared" si="17"/>
        <v>0</v>
      </c>
      <c r="K67">
        <v>53</v>
      </c>
      <c r="L67">
        <f t="shared" si="7"/>
        <v>53</v>
      </c>
      <c r="M67" s="200">
        <f t="shared" si="8"/>
        <v>4.416666666666667</v>
      </c>
      <c r="N67" s="6">
        <f t="shared" si="18"/>
        <v>0</v>
      </c>
      <c r="O67" s="6">
        <f t="shared" si="19"/>
        <v>0</v>
      </c>
      <c r="P67" s="6">
        <f t="shared" si="25"/>
        <v>0</v>
      </c>
      <c r="Q67" s="6">
        <f t="shared" si="9"/>
        <v>0</v>
      </c>
      <c r="R67" s="6">
        <f t="shared" si="10"/>
        <v>0</v>
      </c>
      <c r="S67" s="6">
        <f t="shared" si="20"/>
        <v>0</v>
      </c>
      <c r="U67">
        <v>53</v>
      </c>
      <c r="V67">
        <f t="shared" si="11"/>
        <v>53</v>
      </c>
      <c r="W67" s="200">
        <f t="shared" si="12"/>
        <v>4.416666666666667</v>
      </c>
      <c r="X67" s="6">
        <f t="shared" si="21"/>
        <v>0</v>
      </c>
      <c r="Y67" s="6">
        <f t="shared" si="22"/>
        <v>0</v>
      </c>
      <c r="Z67" s="6">
        <f t="shared" si="26"/>
        <v>0</v>
      </c>
      <c r="AA67" s="6">
        <f t="shared" si="13"/>
        <v>0</v>
      </c>
      <c r="AB67" s="6">
        <f t="shared" si="14"/>
        <v>0</v>
      </c>
      <c r="AC67" s="6">
        <f t="shared" si="23"/>
        <v>0</v>
      </c>
    </row>
    <row r="68" spans="1:29" x14ac:dyDescent="0.25">
      <c r="A68">
        <v>54</v>
      </c>
      <c r="B68">
        <f t="shared" si="3"/>
        <v>54</v>
      </c>
      <c r="C68" s="200">
        <f t="shared" si="4"/>
        <v>4.5</v>
      </c>
      <c r="D68" s="6">
        <f t="shared" si="15"/>
        <v>0</v>
      </c>
      <c r="E68" s="6">
        <f t="shared" si="16"/>
        <v>0</v>
      </c>
      <c r="F68" s="6">
        <f t="shared" si="24"/>
        <v>0</v>
      </c>
      <c r="G68" s="6">
        <f t="shared" si="5"/>
        <v>0</v>
      </c>
      <c r="H68" s="6">
        <f t="shared" si="6"/>
        <v>0</v>
      </c>
      <c r="I68" s="6">
        <f t="shared" si="17"/>
        <v>0</v>
      </c>
      <c r="K68">
        <v>54</v>
      </c>
      <c r="L68">
        <f t="shared" si="7"/>
        <v>54</v>
      </c>
      <c r="M68" s="200">
        <f t="shared" si="8"/>
        <v>4.5</v>
      </c>
      <c r="N68" s="6">
        <f t="shared" si="18"/>
        <v>0</v>
      </c>
      <c r="O68" s="6">
        <f t="shared" si="19"/>
        <v>0</v>
      </c>
      <c r="P68" s="6">
        <f t="shared" si="25"/>
        <v>0</v>
      </c>
      <c r="Q68" s="6">
        <f t="shared" si="9"/>
        <v>0</v>
      </c>
      <c r="R68" s="6">
        <f t="shared" si="10"/>
        <v>0</v>
      </c>
      <c r="S68" s="6">
        <f t="shared" si="20"/>
        <v>0</v>
      </c>
      <c r="U68">
        <v>54</v>
      </c>
      <c r="V68">
        <f t="shared" si="11"/>
        <v>54</v>
      </c>
      <c r="W68" s="200">
        <f t="shared" si="12"/>
        <v>4.5</v>
      </c>
      <c r="X68" s="6">
        <f t="shared" si="21"/>
        <v>0</v>
      </c>
      <c r="Y68" s="6">
        <f t="shared" si="22"/>
        <v>0</v>
      </c>
      <c r="Z68" s="6">
        <f t="shared" si="26"/>
        <v>0</v>
      </c>
      <c r="AA68" s="6">
        <f t="shared" si="13"/>
        <v>0</v>
      </c>
      <c r="AB68" s="6">
        <f t="shared" si="14"/>
        <v>0</v>
      </c>
      <c r="AC68" s="6">
        <f t="shared" si="23"/>
        <v>0</v>
      </c>
    </row>
    <row r="69" spans="1:29" x14ac:dyDescent="0.25">
      <c r="A69">
        <v>55</v>
      </c>
      <c r="B69">
        <f t="shared" si="3"/>
        <v>55</v>
      </c>
      <c r="C69" s="200">
        <f t="shared" si="4"/>
        <v>4.583333333333333</v>
      </c>
      <c r="D69" s="6">
        <f t="shared" si="15"/>
        <v>0</v>
      </c>
      <c r="E69" s="6">
        <f t="shared" si="16"/>
        <v>0</v>
      </c>
      <c r="F69" s="6">
        <f t="shared" si="24"/>
        <v>0</v>
      </c>
      <c r="G69" s="6">
        <f t="shared" si="5"/>
        <v>0</v>
      </c>
      <c r="H69" s="6">
        <f t="shared" si="6"/>
        <v>0</v>
      </c>
      <c r="I69" s="6">
        <f t="shared" si="17"/>
        <v>0</v>
      </c>
      <c r="K69">
        <v>55</v>
      </c>
      <c r="L69">
        <f t="shared" si="7"/>
        <v>55</v>
      </c>
      <c r="M69" s="200">
        <f t="shared" si="8"/>
        <v>4.583333333333333</v>
      </c>
      <c r="N69" s="6">
        <f t="shared" si="18"/>
        <v>0</v>
      </c>
      <c r="O69" s="6">
        <f t="shared" si="19"/>
        <v>0</v>
      </c>
      <c r="P69" s="6">
        <f t="shared" si="25"/>
        <v>0</v>
      </c>
      <c r="Q69" s="6">
        <f t="shared" si="9"/>
        <v>0</v>
      </c>
      <c r="R69" s="6">
        <f t="shared" si="10"/>
        <v>0</v>
      </c>
      <c r="S69" s="6">
        <f t="shared" si="20"/>
        <v>0</v>
      </c>
      <c r="U69">
        <v>55</v>
      </c>
      <c r="V69">
        <f t="shared" si="11"/>
        <v>55</v>
      </c>
      <c r="W69" s="200">
        <f t="shared" si="12"/>
        <v>4.583333333333333</v>
      </c>
      <c r="X69" s="6">
        <f t="shared" si="21"/>
        <v>0</v>
      </c>
      <c r="Y69" s="6">
        <f t="shared" si="22"/>
        <v>0</v>
      </c>
      <c r="Z69" s="6">
        <f t="shared" si="26"/>
        <v>0</v>
      </c>
      <c r="AA69" s="6">
        <f t="shared" si="13"/>
        <v>0</v>
      </c>
      <c r="AB69" s="6">
        <f t="shared" si="14"/>
        <v>0</v>
      </c>
      <c r="AC69" s="6">
        <f t="shared" si="23"/>
        <v>0</v>
      </c>
    </row>
    <row r="70" spans="1:29" x14ac:dyDescent="0.25">
      <c r="A70">
        <v>56</v>
      </c>
      <c r="B70">
        <f t="shared" si="3"/>
        <v>56</v>
      </c>
      <c r="C70" s="200">
        <f t="shared" si="4"/>
        <v>4.666666666666667</v>
      </c>
      <c r="D70" s="6">
        <f t="shared" si="15"/>
        <v>0</v>
      </c>
      <c r="E70" s="6">
        <f t="shared" si="16"/>
        <v>0</v>
      </c>
      <c r="F70" s="6">
        <f t="shared" si="24"/>
        <v>0</v>
      </c>
      <c r="G70" s="6">
        <f t="shared" si="5"/>
        <v>0</v>
      </c>
      <c r="H70" s="6">
        <f t="shared" si="6"/>
        <v>0</v>
      </c>
      <c r="I70" s="6">
        <f t="shared" si="17"/>
        <v>0</v>
      </c>
      <c r="K70">
        <v>56</v>
      </c>
      <c r="L70">
        <f t="shared" si="7"/>
        <v>56</v>
      </c>
      <c r="M70" s="200">
        <f t="shared" si="8"/>
        <v>4.666666666666667</v>
      </c>
      <c r="N70" s="6">
        <f t="shared" si="18"/>
        <v>0</v>
      </c>
      <c r="O70" s="6">
        <f t="shared" si="19"/>
        <v>0</v>
      </c>
      <c r="P70" s="6">
        <f t="shared" si="25"/>
        <v>0</v>
      </c>
      <c r="Q70" s="6">
        <f t="shared" si="9"/>
        <v>0</v>
      </c>
      <c r="R70" s="6">
        <f t="shared" si="10"/>
        <v>0</v>
      </c>
      <c r="S70" s="6">
        <f t="shared" si="20"/>
        <v>0</v>
      </c>
      <c r="U70">
        <v>56</v>
      </c>
      <c r="V70">
        <f t="shared" si="11"/>
        <v>56</v>
      </c>
      <c r="W70" s="200">
        <f t="shared" si="12"/>
        <v>4.666666666666667</v>
      </c>
      <c r="X70" s="6">
        <f t="shared" si="21"/>
        <v>0</v>
      </c>
      <c r="Y70" s="6">
        <f t="shared" si="22"/>
        <v>0</v>
      </c>
      <c r="Z70" s="6">
        <f t="shared" si="26"/>
        <v>0</v>
      </c>
      <c r="AA70" s="6">
        <f t="shared" si="13"/>
        <v>0</v>
      </c>
      <c r="AB70" s="6">
        <f t="shared" si="14"/>
        <v>0</v>
      </c>
      <c r="AC70" s="6">
        <f t="shared" si="23"/>
        <v>0</v>
      </c>
    </row>
    <row r="71" spans="1:29" x14ac:dyDescent="0.25">
      <c r="A71">
        <v>57</v>
      </c>
      <c r="B71">
        <f t="shared" si="3"/>
        <v>57</v>
      </c>
      <c r="C71" s="200">
        <f t="shared" si="4"/>
        <v>4.75</v>
      </c>
      <c r="D71" s="6">
        <f t="shared" si="15"/>
        <v>0</v>
      </c>
      <c r="E71" s="6">
        <f t="shared" si="16"/>
        <v>0</v>
      </c>
      <c r="F71" s="6">
        <f t="shared" si="24"/>
        <v>0</v>
      </c>
      <c r="G71" s="6">
        <f t="shared" si="5"/>
        <v>0</v>
      </c>
      <c r="H71" s="6">
        <f t="shared" si="6"/>
        <v>0</v>
      </c>
      <c r="I71" s="6">
        <f t="shared" si="17"/>
        <v>0</v>
      </c>
      <c r="K71">
        <v>57</v>
      </c>
      <c r="L71">
        <f t="shared" si="7"/>
        <v>57</v>
      </c>
      <c r="M71" s="200">
        <f t="shared" si="8"/>
        <v>4.75</v>
      </c>
      <c r="N71" s="6">
        <f t="shared" si="18"/>
        <v>0</v>
      </c>
      <c r="O71" s="6">
        <f t="shared" si="19"/>
        <v>0</v>
      </c>
      <c r="P71" s="6">
        <f t="shared" si="25"/>
        <v>0</v>
      </c>
      <c r="Q71" s="6">
        <f t="shared" si="9"/>
        <v>0</v>
      </c>
      <c r="R71" s="6">
        <f t="shared" si="10"/>
        <v>0</v>
      </c>
      <c r="S71" s="6">
        <f t="shared" si="20"/>
        <v>0</v>
      </c>
      <c r="U71">
        <v>57</v>
      </c>
      <c r="V71">
        <f t="shared" si="11"/>
        <v>57</v>
      </c>
      <c r="W71" s="200">
        <f t="shared" si="12"/>
        <v>4.75</v>
      </c>
      <c r="X71" s="6">
        <f t="shared" si="21"/>
        <v>0</v>
      </c>
      <c r="Y71" s="6">
        <f t="shared" si="22"/>
        <v>0</v>
      </c>
      <c r="Z71" s="6">
        <f t="shared" si="26"/>
        <v>0</v>
      </c>
      <c r="AA71" s="6">
        <f t="shared" si="13"/>
        <v>0</v>
      </c>
      <c r="AB71" s="6">
        <f t="shared" si="14"/>
        <v>0</v>
      </c>
      <c r="AC71" s="6">
        <f t="shared" si="23"/>
        <v>0</v>
      </c>
    </row>
    <row r="72" spans="1:29" x14ac:dyDescent="0.25">
      <c r="A72">
        <v>58</v>
      </c>
      <c r="B72">
        <f t="shared" si="3"/>
        <v>58</v>
      </c>
      <c r="C72" s="200">
        <f t="shared" si="4"/>
        <v>4.833333333333333</v>
      </c>
      <c r="D72" s="6">
        <f t="shared" si="15"/>
        <v>0</v>
      </c>
      <c r="E72" s="6">
        <f t="shared" si="16"/>
        <v>0</v>
      </c>
      <c r="F72" s="6">
        <f t="shared" si="24"/>
        <v>0</v>
      </c>
      <c r="G72" s="6">
        <f t="shared" si="5"/>
        <v>0</v>
      </c>
      <c r="H72" s="6">
        <f t="shared" si="6"/>
        <v>0</v>
      </c>
      <c r="I72" s="6">
        <f t="shared" si="17"/>
        <v>0</v>
      </c>
      <c r="K72">
        <v>58</v>
      </c>
      <c r="L72">
        <f t="shared" si="7"/>
        <v>58</v>
      </c>
      <c r="M72" s="200">
        <f t="shared" si="8"/>
        <v>4.833333333333333</v>
      </c>
      <c r="N72" s="6">
        <f t="shared" si="18"/>
        <v>0</v>
      </c>
      <c r="O72" s="6">
        <f t="shared" si="19"/>
        <v>0</v>
      </c>
      <c r="P72" s="6">
        <f t="shared" si="25"/>
        <v>0</v>
      </c>
      <c r="Q72" s="6">
        <f t="shared" si="9"/>
        <v>0</v>
      </c>
      <c r="R72" s="6">
        <f t="shared" si="10"/>
        <v>0</v>
      </c>
      <c r="S72" s="6">
        <f t="shared" si="20"/>
        <v>0</v>
      </c>
      <c r="U72">
        <v>58</v>
      </c>
      <c r="V72">
        <f t="shared" si="11"/>
        <v>58</v>
      </c>
      <c r="W72" s="200">
        <f t="shared" si="12"/>
        <v>4.833333333333333</v>
      </c>
      <c r="X72" s="6">
        <f t="shared" si="21"/>
        <v>0</v>
      </c>
      <c r="Y72" s="6">
        <f t="shared" si="22"/>
        <v>0</v>
      </c>
      <c r="Z72" s="6">
        <f t="shared" si="26"/>
        <v>0</v>
      </c>
      <c r="AA72" s="6">
        <f t="shared" si="13"/>
        <v>0</v>
      </c>
      <c r="AB72" s="6">
        <f t="shared" si="14"/>
        <v>0</v>
      </c>
      <c r="AC72" s="6">
        <f t="shared" si="23"/>
        <v>0</v>
      </c>
    </row>
    <row r="73" spans="1:29" x14ac:dyDescent="0.25">
      <c r="A73">
        <v>59</v>
      </c>
      <c r="B73">
        <f t="shared" si="3"/>
        <v>59</v>
      </c>
      <c r="C73" s="200">
        <f t="shared" si="4"/>
        <v>4.916666666666667</v>
      </c>
      <c r="D73" s="6">
        <f t="shared" si="15"/>
        <v>0</v>
      </c>
      <c r="E73" s="6">
        <f t="shared" si="16"/>
        <v>0</v>
      </c>
      <c r="F73" s="6">
        <f t="shared" si="24"/>
        <v>0</v>
      </c>
      <c r="G73" s="6">
        <f t="shared" si="5"/>
        <v>0</v>
      </c>
      <c r="H73" s="6">
        <f t="shared" si="6"/>
        <v>0</v>
      </c>
      <c r="I73" s="6">
        <f t="shared" si="17"/>
        <v>0</v>
      </c>
      <c r="K73">
        <v>59</v>
      </c>
      <c r="L73">
        <f t="shared" si="7"/>
        <v>59</v>
      </c>
      <c r="M73" s="200">
        <f t="shared" si="8"/>
        <v>4.916666666666667</v>
      </c>
      <c r="N73" s="6">
        <f t="shared" si="18"/>
        <v>0</v>
      </c>
      <c r="O73" s="6">
        <f t="shared" si="19"/>
        <v>0</v>
      </c>
      <c r="P73" s="6">
        <f t="shared" si="25"/>
        <v>0</v>
      </c>
      <c r="Q73" s="6">
        <f t="shared" si="9"/>
        <v>0</v>
      </c>
      <c r="R73" s="6">
        <f t="shared" si="10"/>
        <v>0</v>
      </c>
      <c r="S73" s="6">
        <f t="shared" si="20"/>
        <v>0</v>
      </c>
      <c r="U73">
        <v>59</v>
      </c>
      <c r="V73">
        <f t="shared" si="11"/>
        <v>59</v>
      </c>
      <c r="W73" s="200">
        <f t="shared" si="12"/>
        <v>4.916666666666667</v>
      </c>
      <c r="X73" s="6">
        <f t="shared" si="21"/>
        <v>0</v>
      </c>
      <c r="Y73" s="6">
        <f t="shared" si="22"/>
        <v>0</v>
      </c>
      <c r="Z73" s="6">
        <f t="shared" si="26"/>
        <v>0</v>
      </c>
      <c r="AA73" s="6">
        <f t="shared" si="13"/>
        <v>0</v>
      </c>
      <c r="AB73" s="6">
        <f t="shared" si="14"/>
        <v>0</v>
      </c>
      <c r="AC73" s="6">
        <f t="shared" si="23"/>
        <v>0</v>
      </c>
    </row>
    <row r="74" spans="1:29" x14ac:dyDescent="0.25">
      <c r="A74">
        <v>60</v>
      </c>
      <c r="B74">
        <f t="shared" si="3"/>
        <v>60</v>
      </c>
      <c r="C74" s="200">
        <f t="shared" si="4"/>
        <v>5</v>
      </c>
      <c r="D74" s="6">
        <f t="shared" si="15"/>
        <v>0</v>
      </c>
      <c r="E74" s="6">
        <f t="shared" si="16"/>
        <v>0</v>
      </c>
      <c r="F74" s="6">
        <f t="shared" si="24"/>
        <v>0</v>
      </c>
      <c r="G74" s="6">
        <f t="shared" si="5"/>
        <v>0</v>
      </c>
      <c r="H74" s="6">
        <f t="shared" si="6"/>
        <v>0</v>
      </c>
      <c r="I74" s="6">
        <f t="shared" si="17"/>
        <v>0</v>
      </c>
      <c r="K74">
        <v>60</v>
      </c>
      <c r="L74">
        <f t="shared" si="7"/>
        <v>60</v>
      </c>
      <c r="M74" s="200">
        <f t="shared" si="8"/>
        <v>5</v>
      </c>
      <c r="N74" s="6">
        <f t="shared" si="18"/>
        <v>0</v>
      </c>
      <c r="O74" s="6">
        <f t="shared" si="19"/>
        <v>0</v>
      </c>
      <c r="P74" s="6">
        <f t="shared" si="25"/>
        <v>0</v>
      </c>
      <c r="Q74" s="6">
        <f t="shared" si="9"/>
        <v>0</v>
      </c>
      <c r="R74" s="6">
        <f t="shared" si="10"/>
        <v>0</v>
      </c>
      <c r="S74" s="6">
        <f t="shared" si="20"/>
        <v>0</v>
      </c>
      <c r="U74">
        <v>60</v>
      </c>
      <c r="V74">
        <f t="shared" si="11"/>
        <v>60</v>
      </c>
      <c r="W74" s="200">
        <f t="shared" si="12"/>
        <v>5</v>
      </c>
      <c r="X74" s="6">
        <f t="shared" si="21"/>
        <v>0</v>
      </c>
      <c r="Y74" s="6">
        <f t="shared" si="22"/>
        <v>0</v>
      </c>
      <c r="Z74" s="6">
        <f t="shared" si="26"/>
        <v>0</v>
      </c>
      <c r="AA74" s="6">
        <f t="shared" si="13"/>
        <v>0</v>
      </c>
      <c r="AB74" s="6">
        <f t="shared" si="14"/>
        <v>0</v>
      </c>
      <c r="AC74" s="6">
        <f t="shared" si="23"/>
        <v>0</v>
      </c>
    </row>
    <row r="75" spans="1:29" x14ac:dyDescent="0.25">
      <c r="A75">
        <v>61</v>
      </c>
      <c r="B75">
        <f t="shared" si="3"/>
        <v>61</v>
      </c>
      <c r="C75" s="200">
        <f t="shared" si="4"/>
        <v>5.083333333333333</v>
      </c>
      <c r="D75" s="6">
        <f t="shared" si="15"/>
        <v>0</v>
      </c>
      <c r="E75" s="6">
        <f t="shared" si="16"/>
        <v>0</v>
      </c>
      <c r="F75" s="6">
        <f t="shared" si="24"/>
        <v>0</v>
      </c>
      <c r="G75" s="6">
        <f t="shared" si="5"/>
        <v>0</v>
      </c>
      <c r="H75" s="6">
        <f t="shared" si="6"/>
        <v>0</v>
      </c>
      <c r="I75" s="6">
        <f t="shared" si="17"/>
        <v>0</v>
      </c>
      <c r="K75">
        <v>61</v>
      </c>
      <c r="L75">
        <f t="shared" si="7"/>
        <v>61</v>
      </c>
      <c r="M75" s="200">
        <f t="shared" si="8"/>
        <v>5.083333333333333</v>
      </c>
      <c r="N75" s="6">
        <f t="shared" si="18"/>
        <v>0</v>
      </c>
      <c r="O75" s="6">
        <f t="shared" si="19"/>
        <v>0</v>
      </c>
      <c r="P75" s="6">
        <f t="shared" si="25"/>
        <v>0</v>
      </c>
      <c r="Q75" s="6">
        <f t="shared" si="9"/>
        <v>0</v>
      </c>
      <c r="R75" s="6">
        <f t="shared" si="10"/>
        <v>0</v>
      </c>
      <c r="S75" s="6">
        <f t="shared" si="20"/>
        <v>0</v>
      </c>
      <c r="U75">
        <v>61</v>
      </c>
      <c r="V75">
        <f t="shared" si="11"/>
        <v>61</v>
      </c>
      <c r="W75" s="200">
        <f t="shared" si="12"/>
        <v>5.083333333333333</v>
      </c>
      <c r="X75" s="6">
        <f t="shared" si="21"/>
        <v>0</v>
      </c>
      <c r="Y75" s="6">
        <f t="shared" si="22"/>
        <v>0</v>
      </c>
      <c r="Z75" s="6">
        <f t="shared" si="26"/>
        <v>0</v>
      </c>
      <c r="AA75" s="6">
        <f t="shared" si="13"/>
        <v>0</v>
      </c>
      <c r="AB75" s="6">
        <f t="shared" si="14"/>
        <v>0</v>
      </c>
      <c r="AC75" s="6">
        <f t="shared" si="23"/>
        <v>0</v>
      </c>
    </row>
    <row r="76" spans="1:29" x14ac:dyDescent="0.25">
      <c r="A76">
        <v>62</v>
      </c>
      <c r="B76">
        <f t="shared" si="3"/>
        <v>62</v>
      </c>
      <c r="C76" s="200">
        <f t="shared" si="4"/>
        <v>5.166666666666667</v>
      </c>
      <c r="D76" s="6">
        <f t="shared" si="15"/>
        <v>0</v>
      </c>
      <c r="E76" s="6">
        <f t="shared" si="16"/>
        <v>0</v>
      </c>
      <c r="F76" s="6">
        <f t="shared" si="24"/>
        <v>0</v>
      </c>
      <c r="G76" s="6">
        <f t="shared" si="5"/>
        <v>0</v>
      </c>
      <c r="H76" s="6">
        <f t="shared" si="6"/>
        <v>0</v>
      </c>
      <c r="I76" s="6">
        <f t="shared" si="17"/>
        <v>0</v>
      </c>
      <c r="K76">
        <v>62</v>
      </c>
      <c r="L76">
        <f t="shared" si="7"/>
        <v>62</v>
      </c>
      <c r="M76" s="200">
        <f t="shared" si="8"/>
        <v>5.166666666666667</v>
      </c>
      <c r="N76" s="6">
        <f t="shared" si="18"/>
        <v>0</v>
      </c>
      <c r="O76" s="6">
        <f t="shared" si="19"/>
        <v>0</v>
      </c>
      <c r="P76" s="6">
        <f t="shared" si="25"/>
        <v>0</v>
      </c>
      <c r="Q76" s="6">
        <f t="shared" si="9"/>
        <v>0</v>
      </c>
      <c r="R76" s="6">
        <f t="shared" si="10"/>
        <v>0</v>
      </c>
      <c r="S76" s="6">
        <f t="shared" si="20"/>
        <v>0</v>
      </c>
      <c r="U76">
        <v>62</v>
      </c>
      <c r="V76">
        <f t="shared" si="11"/>
        <v>62</v>
      </c>
      <c r="W76" s="200">
        <f t="shared" si="12"/>
        <v>5.166666666666667</v>
      </c>
      <c r="X76" s="6">
        <f t="shared" si="21"/>
        <v>0</v>
      </c>
      <c r="Y76" s="6">
        <f t="shared" si="22"/>
        <v>0</v>
      </c>
      <c r="Z76" s="6">
        <f t="shared" si="26"/>
        <v>0</v>
      </c>
      <c r="AA76" s="6">
        <f t="shared" si="13"/>
        <v>0</v>
      </c>
      <c r="AB76" s="6">
        <f t="shared" si="14"/>
        <v>0</v>
      </c>
      <c r="AC76" s="6">
        <f t="shared" si="23"/>
        <v>0</v>
      </c>
    </row>
    <row r="77" spans="1:29" x14ac:dyDescent="0.25">
      <c r="A77">
        <v>63</v>
      </c>
      <c r="B77">
        <f t="shared" si="3"/>
        <v>63</v>
      </c>
      <c r="C77" s="200">
        <f t="shared" si="4"/>
        <v>5.25</v>
      </c>
      <c r="D77" s="6">
        <f t="shared" si="15"/>
        <v>0</v>
      </c>
      <c r="E77" s="6">
        <f t="shared" si="16"/>
        <v>0</v>
      </c>
      <c r="F77" s="6">
        <f t="shared" si="24"/>
        <v>0</v>
      </c>
      <c r="G77" s="6">
        <f t="shared" si="5"/>
        <v>0</v>
      </c>
      <c r="H77" s="6">
        <f t="shared" si="6"/>
        <v>0</v>
      </c>
      <c r="I77" s="6">
        <f t="shared" si="17"/>
        <v>0</v>
      </c>
      <c r="K77">
        <v>63</v>
      </c>
      <c r="L77">
        <f t="shared" si="7"/>
        <v>63</v>
      </c>
      <c r="M77" s="200">
        <f t="shared" si="8"/>
        <v>5.25</v>
      </c>
      <c r="N77" s="6">
        <f t="shared" si="18"/>
        <v>0</v>
      </c>
      <c r="O77" s="6">
        <f t="shared" si="19"/>
        <v>0</v>
      </c>
      <c r="P77" s="6">
        <f t="shared" si="25"/>
        <v>0</v>
      </c>
      <c r="Q77" s="6">
        <f t="shared" si="9"/>
        <v>0</v>
      </c>
      <c r="R77" s="6">
        <f t="shared" si="10"/>
        <v>0</v>
      </c>
      <c r="S77" s="6">
        <f t="shared" si="20"/>
        <v>0</v>
      </c>
      <c r="U77">
        <v>63</v>
      </c>
      <c r="V77">
        <f t="shared" si="11"/>
        <v>63</v>
      </c>
      <c r="W77" s="200">
        <f t="shared" si="12"/>
        <v>5.25</v>
      </c>
      <c r="X77" s="6">
        <f t="shared" si="21"/>
        <v>0</v>
      </c>
      <c r="Y77" s="6">
        <f t="shared" si="22"/>
        <v>0</v>
      </c>
      <c r="Z77" s="6">
        <f t="shared" si="26"/>
        <v>0</v>
      </c>
      <c r="AA77" s="6">
        <f t="shared" si="13"/>
        <v>0</v>
      </c>
      <c r="AB77" s="6">
        <f t="shared" si="14"/>
        <v>0</v>
      </c>
      <c r="AC77" s="6">
        <f t="shared" si="23"/>
        <v>0</v>
      </c>
    </row>
    <row r="78" spans="1:29" x14ac:dyDescent="0.25">
      <c r="A78">
        <v>64</v>
      </c>
      <c r="B78">
        <f t="shared" si="3"/>
        <v>64</v>
      </c>
      <c r="C78" s="200">
        <f t="shared" si="4"/>
        <v>5.333333333333333</v>
      </c>
      <c r="D78" s="6">
        <f t="shared" si="15"/>
        <v>0</v>
      </c>
      <c r="E78" s="6">
        <f t="shared" si="16"/>
        <v>0</v>
      </c>
      <c r="F78" s="6">
        <f t="shared" si="24"/>
        <v>0</v>
      </c>
      <c r="G78" s="6">
        <f t="shared" si="5"/>
        <v>0</v>
      </c>
      <c r="H78" s="6">
        <f t="shared" si="6"/>
        <v>0</v>
      </c>
      <c r="I78" s="6">
        <f t="shared" si="17"/>
        <v>0</v>
      </c>
      <c r="K78">
        <v>64</v>
      </c>
      <c r="L78">
        <f t="shared" si="7"/>
        <v>64</v>
      </c>
      <c r="M78" s="200">
        <f t="shared" si="8"/>
        <v>5.333333333333333</v>
      </c>
      <c r="N78" s="6">
        <f t="shared" si="18"/>
        <v>0</v>
      </c>
      <c r="O78" s="6">
        <f t="shared" si="19"/>
        <v>0</v>
      </c>
      <c r="P78" s="6">
        <f t="shared" si="25"/>
        <v>0</v>
      </c>
      <c r="Q78" s="6">
        <f t="shared" si="9"/>
        <v>0</v>
      </c>
      <c r="R78" s="6">
        <f t="shared" si="10"/>
        <v>0</v>
      </c>
      <c r="S78" s="6">
        <f t="shared" si="20"/>
        <v>0</v>
      </c>
      <c r="U78">
        <v>64</v>
      </c>
      <c r="V78">
        <f t="shared" si="11"/>
        <v>64</v>
      </c>
      <c r="W78" s="200">
        <f t="shared" si="12"/>
        <v>5.333333333333333</v>
      </c>
      <c r="X78" s="6">
        <f t="shared" si="21"/>
        <v>0</v>
      </c>
      <c r="Y78" s="6">
        <f t="shared" si="22"/>
        <v>0</v>
      </c>
      <c r="Z78" s="6">
        <f t="shared" si="26"/>
        <v>0</v>
      </c>
      <c r="AA78" s="6">
        <f t="shared" si="13"/>
        <v>0</v>
      </c>
      <c r="AB78" s="6">
        <f t="shared" si="14"/>
        <v>0</v>
      </c>
      <c r="AC78" s="6">
        <f t="shared" si="23"/>
        <v>0</v>
      </c>
    </row>
    <row r="79" spans="1:29" x14ac:dyDescent="0.25">
      <c r="A79">
        <v>65</v>
      </c>
      <c r="B79">
        <f t="shared" si="3"/>
        <v>65</v>
      </c>
      <c r="C79" s="200">
        <f t="shared" si="4"/>
        <v>5.416666666666667</v>
      </c>
      <c r="D79" s="6">
        <f t="shared" si="15"/>
        <v>0</v>
      </c>
      <c r="E79" s="6">
        <f t="shared" si="16"/>
        <v>0</v>
      </c>
      <c r="F79" s="6">
        <f t="shared" ref="F79:F110" si="27">IF(B$10&gt;=A79,0,E79-G79)</f>
        <v>0</v>
      </c>
      <c r="G79" s="6">
        <f t="shared" si="5"/>
        <v>0</v>
      </c>
      <c r="H79" s="6">
        <f t="shared" si="6"/>
        <v>0</v>
      </c>
      <c r="I79" s="6">
        <f t="shared" si="17"/>
        <v>0</v>
      </c>
      <c r="K79">
        <v>65</v>
      </c>
      <c r="L79">
        <f t="shared" si="7"/>
        <v>65</v>
      </c>
      <c r="M79" s="200">
        <f t="shared" si="8"/>
        <v>5.416666666666667</v>
      </c>
      <c r="N79" s="6">
        <f t="shared" si="18"/>
        <v>0</v>
      </c>
      <c r="O79" s="6">
        <f t="shared" si="19"/>
        <v>0</v>
      </c>
      <c r="P79" s="6">
        <f t="shared" ref="P79:P110" si="28">IF(L$10&gt;=K79,0,O79-Q79)</f>
        <v>0</v>
      </c>
      <c r="Q79" s="6">
        <f t="shared" si="9"/>
        <v>0</v>
      </c>
      <c r="R79" s="6">
        <f t="shared" si="10"/>
        <v>0</v>
      </c>
      <c r="S79" s="6">
        <f t="shared" si="20"/>
        <v>0</v>
      </c>
      <c r="U79">
        <v>65</v>
      </c>
      <c r="V79">
        <f t="shared" si="11"/>
        <v>65</v>
      </c>
      <c r="W79" s="200">
        <f t="shared" si="12"/>
        <v>5.416666666666667</v>
      </c>
      <c r="X79" s="6">
        <f t="shared" si="21"/>
        <v>0</v>
      </c>
      <c r="Y79" s="6">
        <f t="shared" si="22"/>
        <v>0</v>
      </c>
      <c r="Z79" s="6">
        <f t="shared" ref="Z79:Z110" si="29">IF(V$10&gt;=U79,0,Y79-AA79)</f>
        <v>0</v>
      </c>
      <c r="AA79" s="6">
        <f t="shared" si="13"/>
        <v>0</v>
      </c>
      <c r="AB79" s="6">
        <f t="shared" si="14"/>
        <v>0</v>
      </c>
      <c r="AC79" s="6">
        <f t="shared" si="23"/>
        <v>0</v>
      </c>
    </row>
    <row r="80" spans="1:29" x14ac:dyDescent="0.25">
      <c r="A80">
        <v>66</v>
      </c>
      <c r="B80">
        <f t="shared" ref="B80:B143" si="30">A80*12/B$6</f>
        <v>66</v>
      </c>
      <c r="C80" s="200">
        <f t="shared" ref="C80:C143" si="31">A80/B$6</f>
        <v>5.5</v>
      </c>
      <c r="D80" s="6">
        <f t="shared" si="15"/>
        <v>0</v>
      </c>
      <c r="E80" s="6">
        <f t="shared" si="16"/>
        <v>0</v>
      </c>
      <c r="F80" s="6">
        <f t="shared" si="27"/>
        <v>0</v>
      </c>
      <c r="G80" s="6">
        <f t="shared" ref="G80:G143" si="32">D80*B$3/B$6</f>
        <v>0</v>
      </c>
      <c r="H80" s="6">
        <f t="shared" ref="H80:H143" si="33">SUM(F80:G80)</f>
        <v>0</v>
      </c>
      <c r="I80" s="6">
        <f t="shared" si="17"/>
        <v>0</v>
      </c>
      <c r="K80">
        <v>66</v>
      </c>
      <c r="L80">
        <f t="shared" ref="L80:L143" si="34">K80*12/L$6</f>
        <v>66</v>
      </c>
      <c r="M80" s="200">
        <f t="shared" ref="M80:M143" si="35">K80/L$6</f>
        <v>5.5</v>
      </c>
      <c r="N80" s="6">
        <f t="shared" si="18"/>
        <v>0</v>
      </c>
      <c r="O80" s="6">
        <f t="shared" si="19"/>
        <v>0</v>
      </c>
      <c r="P80" s="6">
        <f t="shared" si="28"/>
        <v>0</v>
      </c>
      <c r="Q80" s="6">
        <f t="shared" ref="Q80:Q143" si="36">N80*L$3/L$6</f>
        <v>0</v>
      </c>
      <c r="R80" s="6">
        <f t="shared" ref="R80:R143" si="37">SUM(P80:Q80)</f>
        <v>0</v>
      </c>
      <c r="S80" s="6">
        <f t="shared" si="20"/>
        <v>0</v>
      </c>
      <c r="U80">
        <v>66</v>
      </c>
      <c r="V80">
        <f t="shared" ref="V80:V143" si="38">U80*12/V$6</f>
        <v>66</v>
      </c>
      <c r="W80" s="200">
        <f t="shared" ref="W80:W143" si="39">U80/V$6</f>
        <v>5.5</v>
      </c>
      <c r="X80" s="6">
        <f t="shared" si="21"/>
        <v>0</v>
      </c>
      <c r="Y80" s="6">
        <f t="shared" si="22"/>
        <v>0</v>
      </c>
      <c r="Z80" s="6">
        <f t="shared" si="29"/>
        <v>0</v>
      </c>
      <c r="AA80" s="6">
        <f t="shared" ref="AA80:AA143" si="40">X80*V$3/V$6</f>
        <v>0</v>
      </c>
      <c r="AB80" s="6">
        <f t="shared" ref="AB80:AB143" si="41">SUM(Z80:AA80)</f>
        <v>0</v>
      </c>
      <c r="AC80" s="6">
        <f t="shared" si="23"/>
        <v>0</v>
      </c>
    </row>
    <row r="81" spans="1:29" x14ac:dyDescent="0.25">
      <c r="A81">
        <v>67</v>
      </c>
      <c r="B81">
        <f t="shared" si="30"/>
        <v>67</v>
      </c>
      <c r="C81" s="200">
        <f t="shared" si="31"/>
        <v>5.583333333333333</v>
      </c>
      <c r="D81" s="6">
        <f t="shared" ref="D81:D144" si="42">IF(I80&gt;0,I80,0)</f>
        <v>0</v>
      </c>
      <c r="E81" s="6">
        <f t="shared" ref="E81:E144" si="43">IF(D81&gt;0,MIN(E80,D81),0)</f>
        <v>0</v>
      </c>
      <c r="F81" s="6">
        <f t="shared" si="27"/>
        <v>0</v>
      </c>
      <c r="G81" s="6">
        <f t="shared" si="32"/>
        <v>0</v>
      </c>
      <c r="H81" s="6">
        <f t="shared" si="33"/>
        <v>0</v>
      </c>
      <c r="I81" s="6">
        <f t="shared" ref="I81:I144" si="44">D81-F81</f>
        <v>0</v>
      </c>
      <c r="K81">
        <v>67</v>
      </c>
      <c r="L81">
        <f t="shared" si="34"/>
        <v>67</v>
      </c>
      <c r="M81" s="200">
        <f t="shared" si="35"/>
        <v>5.583333333333333</v>
      </c>
      <c r="N81" s="6">
        <f t="shared" ref="N81:N144" si="45">IF(S80&gt;0,S80,0)</f>
        <v>0</v>
      </c>
      <c r="O81" s="6">
        <f t="shared" ref="O81:O144" si="46">IF(N81&gt;0,MIN(O80,N81),0)</f>
        <v>0</v>
      </c>
      <c r="P81" s="6">
        <f t="shared" si="28"/>
        <v>0</v>
      </c>
      <c r="Q81" s="6">
        <f t="shared" si="36"/>
        <v>0</v>
      </c>
      <c r="R81" s="6">
        <f t="shared" si="37"/>
        <v>0</v>
      </c>
      <c r="S81" s="6">
        <f t="shared" ref="S81:S144" si="47">N81-P81</f>
        <v>0</v>
      </c>
      <c r="U81">
        <v>67</v>
      </c>
      <c r="V81">
        <f t="shared" si="38"/>
        <v>67</v>
      </c>
      <c r="W81" s="200">
        <f t="shared" si="39"/>
        <v>5.583333333333333</v>
      </c>
      <c r="X81" s="6">
        <f t="shared" ref="X81:X144" si="48">IF(AC80&gt;0,AC80,0)</f>
        <v>0</v>
      </c>
      <c r="Y81" s="6">
        <f t="shared" ref="Y81:Y144" si="49">IF(X81&gt;0,MIN(Y80,X81),0)</f>
        <v>0</v>
      </c>
      <c r="Z81" s="6">
        <f t="shared" si="29"/>
        <v>0</v>
      </c>
      <c r="AA81" s="6">
        <f t="shared" si="40"/>
        <v>0</v>
      </c>
      <c r="AB81" s="6">
        <f t="shared" si="41"/>
        <v>0</v>
      </c>
      <c r="AC81" s="6">
        <f t="shared" ref="AC81:AC144" si="50">X81-Z81</f>
        <v>0</v>
      </c>
    </row>
    <row r="82" spans="1:29" x14ac:dyDescent="0.25">
      <c r="A82">
        <v>68</v>
      </c>
      <c r="B82">
        <f t="shared" si="30"/>
        <v>68</v>
      </c>
      <c r="C82" s="200">
        <f t="shared" si="31"/>
        <v>5.666666666666667</v>
      </c>
      <c r="D82" s="6">
        <f t="shared" si="42"/>
        <v>0</v>
      </c>
      <c r="E82" s="6">
        <f t="shared" si="43"/>
        <v>0</v>
      </c>
      <c r="F82" s="6">
        <f t="shared" si="27"/>
        <v>0</v>
      </c>
      <c r="G82" s="6">
        <f t="shared" si="32"/>
        <v>0</v>
      </c>
      <c r="H82" s="6">
        <f t="shared" si="33"/>
        <v>0</v>
      </c>
      <c r="I82" s="6">
        <f t="shared" si="44"/>
        <v>0</v>
      </c>
      <c r="K82">
        <v>68</v>
      </c>
      <c r="L82">
        <f t="shared" si="34"/>
        <v>68</v>
      </c>
      <c r="M82" s="200">
        <f t="shared" si="35"/>
        <v>5.666666666666667</v>
      </c>
      <c r="N82" s="6">
        <f t="shared" si="45"/>
        <v>0</v>
      </c>
      <c r="O82" s="6">
        <f t="shared" si="46"/>
        <v>0</v>
      </c>
      <c r="P82" s="6">
        <f t="shared" si="28"/>
        <v>0</v>
      </c>
      <c r="Q82" s="6">
        <f t="shared" si="36"/>
        <v>0</v>
      </c>
      <c r="R82" s="6">
        <f t="shared" si="37"/>
        <v>0</v>
      </c>
      <c r="S82" s="6">
        <f t="shared" si="47"/>
        <v>0</v>
      </c>
      <c r="U82">
        <v>68</v>
      </c>
      <c r="V82">
        <f t="shared" si="38"/>
        <v>68</v>
      </c>
      <c r="W82" s="200">
        <f t="shared" si="39"/>
        <v>5.666666666666667</v>
      </c>
      <c r="X82" s="6">
        <f t="shared" si="48"/>
        <v>0</v>
      </c>
      <c r="Y82" s="6">
        <f t="shared" si="49"/>
        <v>0</v>
      </c>
      <c r="Z82" s="6">
        <f t="shared" si="29"/>
        <v>0</v>
      </c>
      <c r="AA82" s="6">
        <f t="shared" si="40"/>
        <v>0</v>
      </c>
      <c r="AB82" s="6">
        <f t="shared" si="41"/>
        <v>0</v>
      </c>
      <c r="AC82" s="6">
        <f t="shared" si="50"/>
        <v>0</v>
      </c>
    </row>
    <row r="83" spans="1:29" x14ac:dyDescent="0.25">
      <c r="A83">
        <v>69</v>
      </c>
      <c r="B83">
        <f t="shared" si="30"/>
        <v>69</v>
      </c>
      <c r="C83" s="200">
        <f t="shared" si="31"/>
        <v>5.75</v>
      </c>
      <c r="D83" s="6">
        <f t="shared" si="42"/>
        <v>0</v>
      </c>
      <c r="E83" s="6">
        <f t="shared" si="43"/>
        <v>0</v>
      </c>
      <c r="F83" s="6">
        <f t="shared" si="27"/>
        <v>0</v>
      </c>
      <c r="G83" s="6">
        <f t="shared" si="32"/>
        <v>0</v>
      </c>
      <c r="H83" s="6">
        <f t="shared" si="33"/>
        <v>0</v>
      </c>
      <c r="I83" s="6">
        <f t="shared" si="44"/>
        <v>0</v>
      </c>
      <c r="K83">
        <v>69</v>
      </c>
      <c r="L83">
        <f t="shared" si="34"/>
        <v>69</v>
      </c>
      <c r="M83" s="200">
        <f t="shared" si="35"/>
        <v>5.75</v>
      </c>
      <c r="N83" s="6">
        <f t="shared" si="45"/>
        <v>0</v>
      </c>
      <c r="O83" s="6">
        <f t="shared" si="46"/>
        <v>0</v>
      </c>
      <c r="P83" s="6">
        <f t="shared" si="28"/>
        <v>0</v>
      </c>
      <c r="Q83" s="6">
        <f t="shared" si="36"/>
        <v>0</v>
      </c>
      <c r="R83" s="6">
        <f t="shared" si="37"/>
        <v>0</v>
      </c>
      <c r="S83" s="6">
        <f t="shared" si="47"/>
        <v>0</v>
      </c>
      <c r="U83">
        <v>69</v>
      </c>
      <c r="V83">
        <f t="shared" si="38"/>
        <v>69</v>
      </c>
      <c r="W83" s="200">
        <f t="shared" si="39"/>
        <v>5.75</v>
      </c>
      <c r="X83" s="6">
        <f t="shared" si="48"/>
        <v>0</v>
      </c>
      <c r="Y83" s="6">
        <f t="shared" si="49"/>
        <v>0</v>
      </c>
      <c r="Z83" s="6">
        <f t="shared" si="29"/>
        <v>0</v>
      </c>
      <c r="AA83" s="6">
        <f t="shared" si="40"/>
        <v>0</v>
      </c>
      <c r="AB83" s="6">
        <f t="shared" si="41"/>
        <v>0</v>
      </c>
      <c r="AC83" s="6">
        <f t="shared" si="50"/>
        <v>0</v>
      </c>
    </row>
    <row r="84" spans="1:29" x14ac:dyDescent="0.25">
      <c r="A84">
        <v>70</v>
      </c>
      <c r="B84">
        <f t="shared" si="30"/>
        <v>70</v>
      </c>
      <c r="C84" s="200">
        <f t="shared" si="31"/>
        <v>5.833333333333333</v>
      </c>
      <c r="D84" s="6">
        <f t="shared" si="42"/>
        <v>0</v>
      </c>
      <c r="E84" s="6">
        <f t="shared" si="43"/>
        <v>0</v>
      </c>
      <c r="F84" s="6">
        <f t="shared" si="27"/>
        <v>0</v>
      </c>
      <c r="G84" s="6">
        <f t="shared" si="32"/>
        <v>0</v>
      </c>
      <c r="H84" s="6">
        <f t="shared" si="33"/>
        <v>0</v>
      </c>
      <c r="I84" s="6">
        <f t="shared" si="44"/>
        <v>0</v>
      </c>
      <c r="K84">
        <v>70</v>
      </c>
      <c r="L84">
        <f t="shared" si="34"/>
        <v>70</v>
      </c>
      <c r="M84" s="200">
        <f t="shared" si="35"/>
        <v>5.833333333333333</v>
      </c>
      <c r="N84" s="6">
        <f t="shared" si="45"/>
        <v>0</v>
      </c>
      <c r="O84" s="6">
        <f t="shared" si="46"/>
        <v>0</v>
      </c>
      <c r="P84" s="6">
        <f t="shared" si="28"/>
        <v>0</v>
      </c>
      <c r="Q84" s="6">
        <f t="shared" si="36"/>
        <v>0</v>
      </c>
      <c r="R84" s="6">
        <f t="shared" si="37"/>
        <v>0</v>
      </c>
      <c r="S84" s="6">
        <f t="shared" si="47"/>
        <v>0</v>
      </c>
      <c r="U84">
        <v>70</v>
      </c>
      <c r="V84">
        <f t="shared" si="38"/>
        <v>70</v>
      </c>
      <c r="W84" s="200">
        <f t="shared" si="39"/>
        <v>5.833333333333333</v>
      </c>
      <c r="X84" s="6">
        <f t="shared" si="48"/>
        <v>0</v>
      </c>
      <c r="Y84" s="6">
        <f t="shared" si="49"/>
        <v>0</v>
      </c>
      <c r="Z84" s="6">
        <f t="shared" si="29"/>
        <v>0</v>
      </c>
      <c r="AA84" s="6">
        <f t="shared" si="40"/>
        <v>0</v>
      </c>
      <c r="AB84" s="6">
        <f t="shared" si="41"/>
        <v>0</v>
      </c>
      <c r="AC84" s="6">
        <f t="shared" si="50"/>
        <v>0</v>
      </c>
    </row>
    <row r="85" spans="1:29" x14ac:dyDescent="0.25">
      <c r="A85">
        <v>71</v>
      </c>
      <c r="B85">
        <f t="shared" si="30"/>
        <v>71</v>
      </c>
      <c r="C85" s="200">
        <f t="shared" si="31"/>
        <v>5.916666666666667</v>
      </c>
      <c r="D85" s="6">
        <f t="shared" si="42"/>
        <v>0</v>
      </c>
      <c r="E85" s="6">
        <f t="shared" si="43"/>
        <v>0</v>
      </c>
      <c r="F85" s="6">
        <f t="shared" si="27"/>
        <v>0</v>
      </c>
      <c r="G85" s="6">
        <f t="shared" si="32"/>
        <v>0</v>
      </c>
      <c r="H85" s="6">
        <f t="shared" si="33"/>
        <v>0</v>
      </c>
      <c r="I85" s="6">
        <f t="shared" si="44"/>
        <v>0</v>
      </c>
      <c r="K85">
        <v>71</v>
      </c>
      <c r="L85">
        <f t="shared" si="34"/>
        <v>71</v>
      </c>
      <c r="M85" s="200">
        <f t="shared" si="35"/>
        <v>5.916666666666667</v>
      </c>
      <c r="N85" s="6">
        <f t="shared" si="45"/>
        <v>0</v>
      </c>
      <c r="O85" s="6">
        <f t="shared" si="46"/>
        <v>0</v>
      </c>
      <c r="P85" s="6">
        <f t="shared" si="28"/>
        <v>0</v>
      </c>
      <c r="Q85" s="6">
        <f t="shared" si="36"/>
        <v>0</v>
      </c>
      <c r="R85" s="6">
        <f t="shared" si="37"/>
        <v>0</v>
      </c>
      <c r="S85" s="6">
        <f t="shared" si="47"/>
        <v>0</v>
      </c>
      <c r="U85">
        <v>71</v>
      </c>
      <c r="V85">
        <f t="shared" si="38"/>
        <v>71</v>
      </c>
      <c r="W85" s="200">
        <f t="shared" si="39"/>
        <v>5.916666666666667</v>
      </c>
      <c r="X85" s="6">
        <f t="shared" si="48"/>
        <v>0</v>
      </c>
      <c r="Y85" s="6">
        <f t="shared" si="49"/>
        <v>0</v>
      </c>
      <c r="Z85" s="6">
        <f t="shared" si="29"/>
        <v>0</v>
      </c>
      <c r="AA85" s="6">
        <f t="shared" si="40"/>
        <v>0</v>
      </c>
      <c r="AB85" s="6">
        <f t="shared" si="41"/>
        <v>0</v>
      </c>
      <c r="AC85" s="6">
        <f t="shared" si="50"/>
        <v>0</v>
      </c>
    </row>
    <row r="86" spans="1:29" x14ac:dyDescent="0.25">
      <c r="A86">
        <v>72</v>
      </c>
      <c r="B86">
        <f t="shared" si="30"/>
        <v>72</v>
      </c>
      <c r="C86" s="200">
        <f t="shared" si="31"/>
        <v>6</v>
      </c>
      <c r="D86" s="6">
        <f t="shared" si="42"/>
        <v>0</v>
      </c>
      <c r="E86" s="6">
        <f t="shared" si="43"/>
        <v>0</v>
      </c>
      <c r="F86" s="6">
        <f t="shared" si="27"/>
        <v>0</v>
      </c>
      <c r="G86" s="6">
        <f t="shared" si="32"/>
        <v>0</v>
      </c>
      <c r="H86" s="6">
        <f t="shared" si="33"/>
        <v>0</v>
      </c>
      <c r="I86" s="6">
        <f t="shared" si="44"/>
        <v>0</v>
      </c>
      <c r="K86">
        <v>72</v>
      </c>
      <c r="L86">
        <f t="shared" si="34"/>
        <v>72</v>
      </c>
      <c r="M86" s="200">
        <f t="shared" si="35"/>
        <v>6</v>
      </c>
      <c r="N86" s="6">
        <f t="shared" si="45"/>
        <v>0</v>
      </c>
      <c r="O86" s="6">
        <f t="shared" si="46"/>
        <v>0</v>
      </c>
      <c r="P86" s="6">
        <f t="shared" si="28"/>
        <v>0</v>
      </c>
      <c r="Q86" s="6">
        <f t="shared" si="36"/>
        <v>0</v>
      </c>
      <c r="R86" s="6">
        <f t="shared" si="37"/>
        <v>0</v>
      </c>
      <c r="S86" s="6">
        <f t="shared" si="47"/>
        <v>0</v>
      </c>
      <c r="U86">
        <v>72</v>
      </c>
      <c r="V86">
        <f t="shared" si="38"/>
        <v>72</v>
      </c>
      <c r="W86" s="200">
        <f t="shared" si="39"/>
        <v>6</v>
      </c>
      <c r="X86" s="6">
        <f t="shared" si="48"/>
        <v>0</v>
      </c>
      <c r="Y86" s="6">
        <f t="shared" si="49"/>
        <v>0</v>
      </c>
      <c r="Z86" s="6">
        <f t="shared" si="29"/>
        <v>0</v>
      </c>
      <c r="AA86" s="6">
        <f t="shared" si="40"/>
        <v>0</v>
      </c>
      <c r="AB86" s="6">
        <f t="shared" si="41"/>
        <v>0</v>
      </c>
      <c r="AC86" s="6">
        <f t="shared" si="50"/>
        <v>0</v>
      </c>
    </row>
    <row r="87" spans="1:29" x14ac:dyDescent="0.25">
      <c r="A87">
        <v>73</v>
      </c>
      <c r="B87">
        <f t="shared" si="30"/>
        <v>73</v>
      </c>
      <c r="C87" s="200">
        <f t="shared" si="31"/>
        <v>6.083333333333333</v>
      </c>
      <c r="D87" s="6">
        <f t="shared" si="42"/>
        <v>0</v>
      </c>
      <c r="E87" s="6">
        <f t="shared" si="43"/>
        <v>0</v>
      </c>
      <c r="F87" s="6">
        <f t="shared" si="27"/>
        <v>0</v>
      </c>
      <c r="G87" s="6">
        <f t="shared" si="32"/>
        <v>0</v>
      </c>
      <c r="H87" s="6">
        <f t="shared" si="33"/>
        <v>0</v>
      </c>
      <c r="I87" s="6">
        <f t="shared" si="44"/>
        <v>0</v>
      </c>
      <c r="K87">
        <v>73</v>
      </c>
      <c r="L87">
        <f t="shared" si="34"/>
        <v>73</v>
      </c>
      <c r="M87" s="200">
        <f t="shared" si="35"/>
        <v>6.083333333333333</v>
      </c>
      <c r="N87" s="6">
        <f t="shared" si="45"/>
        <v>0</v>
      </c>
      <c r="O87" s="6">
        <f t="shared" si="46"/>
        <v>0</v>
      </c>
      <c r="P87" s="6">
        <f t="shared" si="28"/>
        <v>0</v>
      </c>
      <c r="Q87" s="6">
        <f t="shared" si="36"/>
        <v>0</v>
      </c>
      <c r="R87" s="6">
        <f t="shared" si="37"/>
        <v>0</v>
      </c>
      <c r="S87" s="6">
        <f t="shared" si="47"/>
        <v>0</v>
      </c>
      <c r="U87">
        <v>73</v>
      </c>
      <c r="V87">
        <f t="shared" si="38"/>
        <v>73</v>
      </c>
      <c r="W87" s="200">
        <f t="shared" si="39"/>
        <v>6.083333333333333</v>
      </c>
      <c r="X87" s="6">
        <f t="shared" si="48"/>
        <v>0</v>
      </c>
      <c r="Y87" s="6">
        <f t="shared" si="49"/>
        <v>0</v>
      </c>
      <c r="Z87" s="6">
        <f t="shared" si="29"/>
        <v>0</v>
      </c>
      <c r="AA87" s="6">
        <f t="shared" si="40"/>
        <v>0</v>
      </c>
      <c r="AB87" s="6">
        <f t="shared" si="41"/>
        <v>0</v>
      </c>
      <c r="AC87" s="6">
        <f t="shared" si="50"/>
        <v>0</v>
      </c>
    </row>
    <row r="88" spans="1:29" x14ac:dyDescent="0.25">
      <c r="A88">
        <v>74</v>
      </c>
      <c r="B88">
        <f t="shared" si="30"/>
        <v>74</v>
      </c>
      <c r="C88" s="200">
        <f t="shared" si="31"/>
        <v>6.166666666666667</v>
      </c>
      <c r="D88" s="6">
        <f t="shared" si="42"/>
        <v>0</v>
      </c>
      <c r="E88" s="6">
        <f t="shared" si="43"/>
        <v>0</v>
      </c>
      <c r="F88" s="6">
        <f t="shared" si="27"/>
        <v>0</v>
      </c>
      <c r="G88" s="6">
        <f t="shared" si="32"/>
        <v>0</v>
      </c>
      <c r="H88" s="6">
        <f t="shared" si="33"/>
        <v>0</v>
      </c>
      <c r="I88" s="6">
        <f t="shared" si="44"/>
        <v>0</v>
      </c>
      <c r="K88">
        <v>74</v>
      </c>
      <c r="L88">
        <f t="shared" si="34"/>
        <v>74</v>
      </c>
      <c r="M88" s="200">
        <f t="shared" si="35"/>
        <v>6.166666666666667</v>
      </c>
      <c r="N88" s="6">
        <f t="shared" si="45"/>
        <v>0</v>
      </c>
      <c r="O88" s="6">
        <f t="shared" si="46"/>
        <v>0</v>
      </c>
      <c r="P88" s="6">
        <f t="shared" si="28"/>
        <v>0</v>
      </c>
      <c r="Q88" s="6">
        <f t="shared" si="36"/>
        <v>0</v>
      </c>
      <c r="R88" s="6">
        <f t="shared" si="37"/>
        <v>0</v>
      </c>
      <c r="S88" s="6">
        <f t="shared" si="47"/>
        <v>0</v>
      </c>
      <c r="U88">
        <v>74</v>
      </c>
      <c r="V88">
        <f t="shared" si="38"/>
        <v>74</v>
      </c>
      <c r="W88" s="200">
        <f t="shared" si="39"/>
        <v>6.166666666666667</v>
      </c>
      <c r="X88" s="6">
        <f t="shared" si="48"/>
        <v>0</v>
      </c>
      <c r="Y88" s="6">
        <f t="shared" si="49"/>
        <v>0</v>
      </c>
      <c r="Z88" s="6">
        <f t="shared" si="29"/>
        <v>0</v>
      </c>
      <c r="AA88" s="6">
        <f t="shared" si="40"/>
        <v>0</v>
      </c>
      <c r="AB88" s="6">
        <f t="shared" si="41"/>
        <v>0</v>
      </c>
      <c r="AC88" s="6">
        <f t="shared" si="50"/>
        <v>0</v>
      </c>
    </row>
    <row r="89" spans="1:29" x14ac:dyDescent="0.25">
      <c r="A89">
        <v>75</v>
      </c>
      <c r="B89">
        <f t="shared" si="30"/>
        <v>75</v>
      </c>
      <c r="C89" s="200">
        <f t="shared" si="31"/>
        <v>6.25</v>
      </c>
      <c r="D89" s="6">
        <f t="shared" si="42"/>
        <v>0</v>
      </c>
      <c r="E89" s="6">
        <f t="shared" si="43"/>
        <v>0</v>
      </c>
      <c r="F89" s="6">
        <f t="shared" si="27"/>
        <v>0</v>
      </c>
      <c r="G89" s="6">
        <f t="shared" si="32"/>
        <v>0</v>
      </c>
      <c r="H89" s="6">
        <f t="shared" si="33"/>
        <v>0</v>
      </c>
      <c r="I89" s="6">
        <f t="shared" si="44"/>
        <v>0</v>
      </c>
      <c r="K89">
        <v>75</v>
      </c>
      <c r="L89">
        <f t="shared" si="34"/>
        <v>75</v>
      </c>
      <c r="M89" s="200">
        <f t="shared" si="35"/>
        <v>6.25</v>
      </c>
      <c r="N89" s="6">
        <f t="shared" si="45"/>
        <v>0</v>
      </c>
      <c r="O89" s="6">
        <f t="shared" si="46"/>
        <v>0</v>
      </c>
      <c r="P89" s="6">
        <f t="shared" si="28"/>
        <v>0</v>
      </c>
      <c r="Q89" s="6">
        <f t="shared" si="36"/>
        <v>0</v>
      </c>
      <c r="R89" s="6">
        <f t="shared" si="37"/>
        <v>0</v>
      </c>
      <c r="S89" s="6">
        <f t="shared" si="47"/>
        <v>0</v>
      </c>
      <c r="U89">
        <v>75</v>
      </c>
      <c r="V89">
        <f t="shared" si="38"/>
        <v>75</v>
      </c>
      <c r="W89" s="200">
        <f t="shared" si="39"/>
        <v>6.25</v>
      </c>
      <c r="X89" s="6">
        <f t="shared" si="48"/>
        <v>0</v>
      </c>
      <c r="Y89" s="6">
        <f t="shared" si="49"/>
        <v>0</v>
      </c>
      <c r="Z89" s="6">
        <f t="shared" si="29"/>
        <v>0</v>
      </c>
      <c r="AA89" s="6">
        <f t="shared" si="40"/>
        <v>0</v>
      </c>
      <c r="AB89" s="6">
        <f t="shared" si="41"/>
        <v>0</v>
      </c>
      <c r="AC89" s="6">
        <f t="shared" si="50"/>
        <v>0</v>
      </c>
    </row>
    <row r="90" spans="1:29" x14ac:dyDescent="0.25">
      <c r="A90">
        <v>76</v>
      </c>
      <c r="B90">
        <f t="shared" si="30"/>
        <v>76</v>
      </c>
      <c r="C90" s="200">
        <f t="shared" si="31"/>
        <v>6.333333333333333</v>
      </c>
      <c r="D90" s="6">
        <f t="shared" si="42"/>
        <v>0</v>
      </c>
      <c r="E90" s="6">
        <f t="shared" si="43"/>
        <v>0</v>
      </c>
      <c r="F90" s="6">
        <f t="shared" si="27"/>
        <v>0</v>
      </c>
      <c r="G90" s="6">
        <f t="shared" si="32"/>
        <v>0</v>
      </c>
      <c r="H90" s="6">
        <f t="shared" si="33"/>
        <v>0</v>
      </c>
      <c r="I90" s="6">
        <f t="shared" si="44"/>
        <v>0</v>
      </c>
      <c r="K90">
        <v>76</v>
      </c>
      <c r="L90">
        <f t="shared" si="34"/>
        <v>76</v>
      </c>
      <c r="M90" s="200">
        <f t="shared" si="35"/>
        <v>6.333333333333333</v>
      </c>
      <c r="N90" s="6">
        <f t="shared" si="45"/>
        <v>0</v>
      </c>
      <c r="O90" s="6">
        <f t="shared" si="46"/>
        <v>0</v>
      </c>
      <c r="P90" s="6">
        <f t="shared" si="28"/>
        <v>0</v>
      </c>
      <c r="Q90" s="6">
        <f t="shared" si="36"/>
        <v>0</v>
      </c>
      <c r="R90" s="6">
        <f t="shared" si="37"/>
        <v>0</v>
      </c>
      <c r="S90" s="6">
        <f t="shared" si="47"/>
        <v>0</v>
      </c>
      <c r="U90">
        <v>76</v>
      </c>
      <c r="V90">
        <f t="shared" si="38"/>
        <v>76</v>
      </c>
      <c r="W90" s="200">
        <f t="shared" si="39"/>
        <v>6.333333333333333</v>
      </c>
      <c r="X90" s="6">
        <f t="shared" si="48"/>
        <v>0</v>
      </c>
      <c r="Y90" s="6">
        <f t="shared" si="49"/>
        <v>0</v>
      </c>
      <c r="Z90" s="6">
        <f t="shared" si="29"/>
        <v>0</v>
      </c>
      <c r="AA90" s="6">
        <f t="shared" si="40"/>
        <v>0</v>
      </c>
      <c r="AB90" s="6">
        <f t="shared" si="41"/>
        <v>0</v>
      </c>
      <c r="AC90" s="6">
        <f t="shared" si="50"/>
        <v>0</v>
      </c>
    </row>
    <row r="91" spans="1:29" x14ac:dyDescent="0.25">
      <c r="A91">
        <v>77</v>
      </c>
      <c r="B91">
        <f t="shared" si="30"/>
        <v>77</v>
      </c>
      <c r="C91" s="200">
        <f t="shared" si="31"/>
        <v>6.416666666666667</v>
      </c>
      <c r="D91" s="6">
        <f t="shared" si="42"/>
        <v>0</v>
      </c>
      <c r="E91" s="6">
        <f t="shared" si="43"/>
        <v>0</v>
      </c>
      <c r="F91" s="6">
        <f t="shared" si="27"/>
        <v>0</v>
      </c>
      <c r="G91" s="6">
        <f t="shared" si="32"/>
        <v>0</v>
      </c>
      <c r="H91" s="6">
        <f t="shared" si="33"/>
        <v>0</v>
      </c>
      <c r="I91" s="6">
        <f t="shared" si="44"/>
        <v>0</v>
      </c>
      <c r="K91">
        <v>77</v>
      </c>
      <c r="L91">
        <f t="shared" si="34"/>
        <v>77</v>
      </c>
      <c r="M91" s="200">
        <f t="shared" si="35"/>
        <v>6.416666666666667</v>
      </c>
      <c r="N91" s="6">
        <f t="shared" si="45"/>
        <v>0</v>
      </c>
      <c r="O91" s="6">
        <f t="shared" si="46"/>
        <v>0</v>
      </c>
      <c r="P91" s="6">
        <f t="shared" si="28"/>
        <v>0</v>
      </c>
      <c r="Q91" s="6">
        <f t="shared" si="36"/>
        <v>0</v>
      </c>
      <c r="R91" s="6">
        <f t="shared" si="37"/>
        <v>0</v>
      </c>
      <c r="S91" s="6">
        <f t="shared" si="47"/>
        <v>0</v>
      </c>
      <c r="U91">
        <v>77</v>
      </c>
      <c r="V91">
        <f t="shared" si="38"/>
        <v>77</v>
      </c>
      <c r="W91" s="200">
        <f t="shared" si="39"/>
        <v>6.416666666666667</v>
      </c>
      <c r="X91" s="6">
        <f t="shared" si="48"/>
        <v>0</v>
      </c>
      <c r="Y91" s="6">
        <f t="shared" si="49"/>
        <v>0</v>
      </c>
      <c r="Z91" s="6">
        <f t="shared" si="29"/>
        <v>0</v>
      </c>
      <c r="AA91" s="6">
        <f t="shared" si="40"/>
        <v>0</v>
      </c>
      <c r="AB91" s="6">
        <f t="shared" si="41"/>
        <v>0</v>
      </c>
      <c r="AC91" s="6">
        <f t="shared" si="50"/>
        <v>0</v>
      </c>
    </row>
    <row r="92" spans="1:29" x14ac:dyDescent="0.25">
      <c r="A92">
        <v>78</v>
      </c>
      <c r="B92">
        <f t="shared" si="30"/>
        <v>78</v>
      </c>
      <c r="C92" s="200">
        <f t="shared" si="31"/>
        <v>6.5</v>
      </c>
      <c r="D92" s="6">
        <f t="shared" si="42"/>
        <v>0</v>
      </c>
      <c r="E92" s="6">
        <f t="shared" si="43"/>
        <v>0</v>
      </c>
      <c r="F92" s="6">
        <f t="shared" si="27"/>
        <v>0</v>
      </c>
      <c r="G92" s="6">
        <f t="shared" si="32"/>
        <v>0</v>
      </c>
      <c r="H92" s="6">
        <f t="shared" si="33"/>
        <v>0</v>
      </c>
      <c r="I92" s="6">
        <f t="shared" si="44"/>
        <v>0</v>
      </c>
      <c r="K92">
        <v>78</v>
      </c>
      <c r="L92">
        <f t="shared" si="34"/>
        <v>78</v>
      </c>
      <c r="M92" s="200">
        <f t="shared" si="35"/>
        <v>6.5</v>
      </c>
      <c r="N92" s="6">
        <f t="shared" si="45"/>
        <v>0</v>
      </c>
      <c r="O92" s="6">
        <f t="shared" si="46"/>
        <v>0</v>
      </c>
      <c r="P92" s="6">
        <f t="shared" si="28"/>
        <v>0</v>
      </c>
      <c r="Q92" s="6">
        <f t="shared" si="36"/>
        <v>0</v>
      </c>
      <c r="R92" s="6">
        <f t="shared" si="37"/>
        <v>0</v>
      </c>
      <c r="S92" s="6">
        <f t="shared" si="47"/>
        <v>0</v>
      </c>
      <c r="U92">
        <v>78</v>
      </c>
      <c r="V92">
        <f t="shared" si="38"/>
        <v>78</v>
      </c>
      <c r="W92" s="200">
        <f t="shared" si="39"/>
        <v>6.5</v>
      </c>
      <c r="X92" s="6">
        <f t="shared" si="48"/>
        <v>0</v>
      </c>
      <c r="Y92" s="6">
        <f t="shared" si="49"/>
        <v>0</v>
      </c>
      <c r="Z92" s="6">
        <f t="shared" si="29"/>
        <v>0</v>
      </c>
      <c r="AA92" s="6">
        <f t="shared" si="40"/>
        <v>0</v>
      </c>
      <c r="AB92" s="6">
        <f t="shared" si="41"/>
        <v>0</v>
      </c>
      <c r="AC92" s="6">
        <f t="shared" si="50"/>
        <v>0</v>
      </c>
    </row>
    <row r="93" spans="1:29" x14ac:dyDescent="0.25">
      <c r="A93">
        <v>79</v>
      </c>
      <c r="B93">
        <f t="shared" si="30"/>
        <v>79</v>
      </c>
      <c r="C93" s="200">
        <f t="shared" si="31"/>
        <v>6.583333333333333</v>
      </c>
      <c r="D93" s="6">
        <f t="shared" si="42"/>
        <v>0</v>
      </c>
      <c r="E93" s="6">
        <f t="shared" si="43"/>
        <v>0</v>
      </c>
      <c r="F93" s="6">
        <f t="shared" si="27"/>
        <v>0</v>
      </c>
      <c r="G93" s="6">
        <f t="shared" si="32"/>
        <v>0</v>
      </c>
      <c r="H93" s="6">
        <f t="shared" si="33"/>
        <v>0</v>
      </c>
      <c r="I93" s="6">
        <f t="shared" si="44"/>
        <v>0</v>
      </c>
      <c r="K93">
        <v>79</v>
      </c>
      <c r="L93">
        <f t="shared" si="34"/>
        <v>79</v>
      </c>
      <c r="M93" s="200">
        <f t="shared" si="35"/>
        <v>6.583333333333333</v>
      </c>
      <c r="N93" s="6">
        <f t="shared" si="45"/>
        <v>0</v>
      </c>
      <c r="O93" s="6">
        <f t="shared" si="46"/>
        <v>0</v>
      </c>
      <c r="P93" s="6">
        <f t="shared" si="28"/>
        <v>0</v>
      </c>
      <c r="Q93" s="6">
        <f t="shared" si="36"/>
        <v>0</v>
      </c>
      <c r="R93" s="6">
        <f t="shared" si="37"/>
        <v>0</v>
      </c>
      <c r="S93" s="6">
        <f t="shared" si="47"/>
        <v>0</v>
      </c>
      <c r="U93">
        <v>79</v>
      </c>
      <c r="V93">
        <f t="shared" si="38"/>
        <v>79</v>
      </c>
      <c r="W93" s="200">
        <f t="shared" si="39"/>
        <v>6.583333333333333</v>
      </c>
      <c r="X93" s="6">
        <f t="shared" si="48"/>
        <v>0</v>
      </c>
      <c r="Y93" s="6">
        <f t="shared" si="49"/>
        <v>0</v>
      </c>
      <c r="Z93" s="6">
        <f t="shared" si="29"/>
        <v>0</v>
      </c>
      <c r="AA93" s="6">
        <f t="shared" si="40"/>
        <v>0</v>
      </c>
      <c r="AB93" s="6">
        <f t="shared" si="41"/>
        <v>0</v>
      </c>
      <c r="AC93" s="6">
        <f t="shared" si="50"/>
        <v>0</v>
      </c>
    </row>
    <row r="94" spans="1:29" x14ac:dyDescent="0.25">
      <c r="A94">
        <v>80</v>
      </c>
      <c r="B94">
        <f t="shared" si="30"/>
        <v>80</v>
      </c>
      <c r="C94" s="200">
        <f t="shared" si="31"/>
        <v>6.666666666666667</v>
      </c>
      <c r="D94" s="6">
        <f t="shared" si="42"/>
        <v>0</v>
      </c>
      <c r="E94" s="6">
        <f t="shared" si="43"/>
        <v>0</v>
      </c>
      <c r="F94" s="6">
        <f t="shared" si="27"/>
        <v>0</v>
      </c>
      <c r="G94" s="6">
        <f t="shared" si="32"/>
        <v>0</v>
      </c>
      <c r="H94" s="6">
        <f t="shared" si="33"/>
        <v>0</v>
      </c>
      <c r="I94" s="6">
        <f t="shared" si="44"/>
        <v>0</v>
      </c>
      <c r="K94">
        <v>80</v>
      </c>
      <c r="L94">
        <f t="shared" si="34"/>
        <v>80</v>
      </c>
      <c r="M94" s="200">
        <f t="shared" si="35"/>
        <v>6.666666666666667</v>
      </c>
      <c r="N94" s="6">
        <f t="shared" si="45"/>
        <v>0</v>
      </c>
      <c r="O94" s="6">
        <f t="shared" si="46"/>
        <v>0</v>
      </c>
      <c r="P94" s="6">
        <f t="shared" si="28"/>
        <v>0</v>
      </c>
      <c r="Q94" s="6">
        <f t="shared" si="36"/>
        <v>0</v>
      </c>
      <c r="R94" s="6">
        <f t="shared" si="37"/>
        <v>0</v>
      </c>
      <c r="S94" s="6">
        <f t="shared" si="47"/>
        <v>0</v>
      </c>
      <c r="U94">
        <v>80</v>
      </c>
      <c r="V94">
        <f t="shared" si="38"/>
        <v>80</v>
      </c>
      <c r="W94" s="200">
        <f t="shared" si="39"/>
        <v>6.666666666666667</v>
      </c>
      <c r="X94" s="6">
        <f t="shared" si="48"/>
        <v>0</v>
      </c>
      <c r="Y94" s="6">
        <f t="shared" si="49"/>
        <v>0</v>
      </c>
      <c r="Z94" s="6">
        <f t="shared" si="29"/>
        <v>0</v>
      </c>
      <c r="AA94" s="6">
        <f t="shared" si="40"/>
        <v>0</v>
      </c>
      <c r="AB94" s="6">
        <f t="shared" si="41"/>
        <v>0</v>
      </c>
      <c r="AC94" s="6">
        <f t="shared" si="50"/>
        <v>0</v>
      </c>
    </row>
    <row r="95" spans="1:29" x14ac:dyDescent="0.25">
      <c r="A95">
        <v>81</v>
      </c>
      <c r="B95">
        <f t="shared" si="30"/>
        <v>81</v>
      </c>
      <c r="C95" s="200">
        <f t="shared" si="31"/>
        <v>6.75</v>
      </c>
      <c r="D95" s="6">
        <f t="shared" si="42"/>
        <v>0</v>
      </c>
      <c r="E95" s="6">
        <f t="shared" si="43"/>
        <v>0</v>
      </c>
      <c r="F95" s="6">
        <f t="shared" si="27"/>
        <v>0</v>
      </c>
      <c r="G95" s="6">
        <f t="shared" si="32"/>
        <v>0</v>
      </c>
      <c r="H95" s="6">
        <f t="shared" si="33"/>
        <v>0</v>
      </c>
      <c r="I95" s="6">
        <f t="shared" si="44"/>
        <v>0</v>
      </c>
      <c r="K95">
        <v>81</v>
      </c>
      <c r="L95">
        <f t="shared" si="34"/>
        <v>81</v>
      </c>
      <c r="M95" s="200">
        <f t="shared" si="35"/>
        <v>6.75</v>
      </c>
      <c r="N95" s="6">
        <f t="shared" si="45"/>
        <v>0</v>
      </c>
      <c r="O95" s="6">
        <f t="shared" si="46"/>
        <v>0</v>
      </c>
      <c r="P95" s="6">
        <f t="shared" si="28"/>
        <v>0</v>
      </c>
      <c r="Q95" s="6">
        <f t="shared" si="36"/>
        <v>0</v>
      </c>
      <c r="R95" s="6">
        <f t="shared" si="37"/>
        <v>0</v>
      </c>
      <c r="S95" s="6">
        <f t="shared" si="47"/>
        <v>0</v>
      </c>
      <c r="U95">
        <v>81</v>
      </c>
      <c r="V95">
        <f t="shared" si="38"/>
        <v>81</v>
      </c>
      <c r="W95" s="200">
        <f t="shared" si="39"/>
        <v>6.75</v>
      </c>
      <c r="X95" s="6">
        <f t="shared" si="48"/>
        <v>0</v>
      </c>
      <c r="Y95" s="6">
        <f t="shared" si="49"/>
        <v>0</v>
      </c>
      <c r="Z95" s="6">
        <f t="shared" si="29"/>
        <v>0</v>
      </c>
      <c r="AA95" s="6">
        <f t="shared" si="40"/>
        <v>0</v>
      </c>
      <c r="AB95" s="6">
        <f t="shared" si="41"/>
        <v>0</v>
      </c>
      <c r="AC95" s="6">
        <f t="shared" si="50"/>
        <v>0</v>
      </c>
    </row>
    <row r="96" spans="1:29" x14ac:dyDescent="0.25">
      <c r="A96">
        <v>82</v>
      </c>
      <c r="B96">
        <f t="shared" si="30"/>
        <v>82</v>
      </c>
      <c r="C96" s="200">
        <f t="shared" si="31"/>
        <v>6.833333333333333</v>
      </c>
      <c r="D96" s="6">
        <f t="shared" si="42"/>
        <v>0</v>
      </c>
      <c r="E96" s="6">
        <f t="shared" si="43"/>
        <v>0</v>
      </c>
      <c r="F96" s="6">
        <f t="shared" si="27"/>
        <v>0</v>
      </c>
      <c r="G96" s="6">
        <f t="shared" si="32"/>
        <v>0</v>
      </c>
      <c r="H96" s="6">
        <f t="shared" si="33"/>
        <v>0</v>
      </c>
      <c r="I96" s="6">
        <f t="shared" si="44"/>
        <v>0</v>
      </c>
      <c r="K96">
        <v>82</v>
      </c>
      <c r="L96">
        <f t="shared" si="34"/>
        <v>82</v>
      </c>
      <c r="M96" s="200">
        <f t="shared" si="35"/>
        <v>6.833333333333333</v>
      </c>
      <c r="N96" s="6">
        <f t="shared" si="45"/>
        <v>0</v>
      </c>
      <c r="O96" s="6">
        <f t="shared" si="46"/>
        <v>0</v>
      </c>
      <c r="P96" s="6">
        <f t="shared" si="28"/>
        <v>0</v>
      </c>
      <c r="Q96" s="6">
        <f t="shared" si="36"/>
        <v>0</v>
      </c>
      <c r="R96" s="6">
        <f t="shared" si="37"/>
        <v>0</v>
      </c>
      <c r="S96" s="6">
        <f t="shared" si="47"/>
        <v>0</v>
      </c>
      <c r="U96">
        <v>82</v>
      </c>
      <c r="V96">
        <f t="shared" si="38"/>
        <v>82</v>
      </c>
      <c r="W96" s="200">
        <f t="shared" si="39"/>
        <v>6.833333333333333</v>
      </c>
      <c r="X96" s="6">
        <f t="shared" si="48"/>
        <v>0</v>
      </c>
      <c r="Y96" s="6">
        <f t="shared" si="49"/>
        <v>0</v>
      </c>
      <c r="Z96" s="6">
        <f t="shared" si="29"/>
        <v>0</v>
      </c>
      <c r="AA96" s="6">
        <f t="shared" si="40"/>
        <v>0</v>
      </c>
      <c r="AB96" s="6">
        <f t="shared" si="41"/>
        <v>0</v>
      </c>
      <c r="AC96" s="6">
        <f t="shared" si="50"/>
        <v>0</v>
      </c>
    </row>
    <row r="97" spans="1:29" x14ac:dyDescent="0.25">
      <c r="A97">
        <v>83</v>
      </c>
      <c r="B97">
        <f t="shared" si="30"/>
        <v>83</v>
      </c>
      <c r="C97" s="200">
        <f t="shared" si="31"/>
        <v>6.916666666666667</v>
      </c>
      <c r="D97" s="6">
        <f t="shared" si="42"/>
        <v>0</v>
      </c>
      <c r="E97" s="6">
        <f t="shared" si="43"/>
        <v>0</v>
      </c>
      <c r="F97" s="6">
        <f t="shared" si="27"/>
        <v>0</v>
      </c>
      <c r="G97" s="6">
        <f t="shared" si="32"/>
        <v>0</v>
      </c>
      <c r="H97" s="6">
        <f t="shared" si="33"/>
        <v>0</v>
      </c>
      <c r="I97" s="6">
        <f t="shared" si="44"/>
        <v>0</v>
      </c>
      <c r="K97">
        <v>83</v>
      </c>
      <c r="L97">
        <f t="shared" si="34"/>
        <v>83</v>
      </c>
      <c r="M97" s="200">
        <f t="shared" si="35"/>
        <v>6.916666666666667</v>
      </c>
      <c r="N97" s="6">
        <f t="shared" si="45"/>
        <v>0</v>
      </c>
      <c r="O97" s="6">
        <f t="shared" si="46"/>
        <v>0</v>
      </c>
      <c r="P97" s="6">
        <f t="shared" si="28"/>
        <v>0</v>
      </c>
      <c r="Q97" s="6">
        <f t="shared" si="36"/>
        <v>0</v>
      </c>
      <c r="R97" s="6">
        <f t="shared" si="37"/>
        <v>0</v>
      </c>
      <c r="S97" s="6">
        <f t="shared" si="47"/>
        <v>0</v>
      </c>
      <c r="U97">
        <v>83</v>
      </c>
      <c r="V97">
        <f t="shared" si="38"/>
        <v>83</v>
      </c>
      <c r="W97" s="200">
        <f t="shared" si="39"/>
        <v>6.916666666666667</v>
      </c>
      <c r="X97" s="6">
        <f t="shared" si="48"/>
        <v>0</v>
      </c>
      <c r="Y97" s="6">
        <f t="shared" si="49"/>
        <v>0</v>
      </c>
      <c r="Z97" s="6">
        <f t="shared" si="29"/>
        <v>0</v>
      </c>
      <c r="AA97" s="6">
        <f t="shared" si="40"/>
        <v>0</v>
      </c>
      <c r="AB97" s="6">
        <f t="shared" si="41"/>
        <v>0</v>
      </c>
      <c r="AC97" s="6">
        <f t="shared" si="50"/>
        <v>0</v>
      </c>
    </row>
    <row r="98" spans="1:29" x14ac:dyDescent="0.25">
      <c r="A98">
        <v>84</v>
      </c>
      <c r="B98">
        <f t="shared" si="30"/>
        <v>84</v>
      </c>
      <c r="C98" s="200">
        <f t="shared" si="31"/>
        <v>7</v>
      </c>
      <c r="D98" s="6">
        <f t="shared" si="42"/>
        <v>0</v>
      </c>
      <c r="E98" s="6">
        <f t="shared" si="43"/>
        <v>0</v>
      </c>
      <c r="F98" s="6">
        <f t="shared" si="27"/>
        <v>0</v>
      </c>
      <c r="G98" s="6">
        <f t="shared" si="32"/>
        <v>0</v>
      </c>
      <c r="H98" s="6">
        <f t="shared" si="33"/>
        <v>0</v>
      </c>
      <c r="I98" s="6">
        <f t="shared" si="44"/>
        <v>0</v>
      </c>
      <c r="K98">
        <v>84</v>
      </c>
      <c r="L98">
        <f t="shared" si="34"/>
        <v>84</v>
      </c>
      <c r="M98" s="200">
        <f t="shared" si="35"/>
        <v>7</v>
      </c>
      <c r="N98" s="6">
        <f t="shared" si="45"/>
        <v>0</v>
      </c>
      <c r="O98" s="6">
        <f t="shared" si="46"/>
        <v>0</v>
      </c>
      <c r="P98" s="6">
        <f t="shared" si="28"/>
        <v>0</v>
      </c>
      <c r="Q98" s="6">
        <f t="shared" si="36"/>
        <v>0</v>
      </c>
      <c r="R98" s="6">
        <f t="shared" si="37"/>
        <v>0</v>
      </c>
      <c r="S98" s="6">
        <f t="shared" si="47"/>
        <v>0</v>
      </c>
      <c r="U98">
        <v>84</v>
      </c>
      <c r="V98">
        <f t="shared" si="38"/>
        <v>84</v>
      </c>
      <c r="W98" s="200">
        <f t="shared" si="39"/>
        <v>7</v>
      </c>
      <c r="X98" s="6">
        <f t="shared" si="48"/>
        <v>0</v>
      </c>
      <c r="Y98" s="6">
        <f t="shared" si="49"/>
        <v>0</v>
      </c>
      <c r="Z98" s="6">
        <f t="shared" si="29"/>
        <v>0</v>
      </c>
      <c r="AA98" s="6">
        <f t="shared" si="40"/>
        <v>0</v>
      </c>
      <c r="AB98" s="6">
        <f t="shared" si="41"/>
        <v>0</v>
      </c>
      <c r="AC98" s="6">
        <f t="shared" si="50"/>
        <v>0</v>
      </c>
    </row>
    <row r="99" spans="1:29" x14ac:dyDescent="0.25">
      <c r="A99">
        <v>85</v>
      </c>
      <c r="B99">
        <f t="shared" si="30"/>
        <v>85</v>
      </c>
      <c r="C99" s="200">
        <f t="shared" si="31"/>
        <v>7.083333333333333</v>
      </c>
      <c r="D99" s="6">
        <f t="shared" si="42"/>
        <v>0</v>
      </c>
      <c r="E99" s="6">
        <f t="shared" si="43"/>
        <v>0</v>
      </c>
      <c r="F99" s="6">
        <f t="shared" si="27"/>
        <v>0</v>
      </c>
      <c r="G99" s="6">
        <f t="shared" si="32"/>
        <v>0</v>
      </c>
      <c r="H99" s="6">
        <f t="shared" si="33"/>
        <v>0</v>
      </c>
      <c r="I99" s="6">
        <f t="shared" si="44"/>
        <v>0</v>
      </c>
      <c r="K99">
        <v>85</v>
      </c>
      <c r="L99">
        <f t="shared" si="34"/>
        <v>85</v>
      </c>
      <c r="M99" s="200">
        <f t="shared" si="35"/>
        <v>7.083333333333333</v>
      </c>
      <c r="N99" s="6">
        <f t="shared" si="45"/>
        <v>0</v>
      </c>
      <c r="O99" s="6">
        <f t="shared" si="46"/>
        <v>0</v>
      </c>
      <c r="P99" s="6">
        <f t="shared" si="28"/>
        <v>0</v>
      </c>
      <c r="Q99" s="6">
        <f t="shared" si="36"/>
        <v>0</v>
      </c>
      <c r="R99" s="6">
        <f t="shared" si="37"/>
        <v>0</v>
      </c>
      <c r="S99" s="6">
        <f t="shared" si="47"/>
        <v>0</v>
      </c>
      <c r="U99">
        <v>85</v>
      </c>
      <c r="V99">
        <f t="shared" si="38"/>
        <v>85</v>
      </c>
      <c r="W99" s="200">
        <f t="shared" si="39"/>
        <v>7.083333333333333</v>
      </c>
      <c r="X99" s="6">
        <f t="shared" si="48"/>
        <v>0</v>
      </c>
      <c r="Y99" s="6">
        <f t="shared" si="49"/>
        <v>0</v>
      </c>
      <c r="Z99" s="6">
        <f t="shared" si="29"/>
        <v>0</v>
      </c>
      <c r="AA99" s="6">
        <f t="shared" si="40"/>
        <v>0</v>
      </c>
      <c r="AB99" s="6">
        <f t="shared" si="41"/>
        <v>0</v>
      </c>
      <c r="AC99" s="6">
        <f t="shared" si="50"/>
        <v>0</v>
      </c>
    </row>
    <row r="100" spans="1:29" x14ac:dyDescent="0.25">
      <c r="A100">
        <v>86</v>
      </c>
      <c r="B100">
        <f t="shared" si="30"/>
        <v>86</v>
      </c>
      <c r="C100" s="200">
        <f t="shared" si="31"/>
        <v>7.166666666666667</v>
      </c>
      <c r="D100" s="6">
        <f t="shared" si="42"/>
        <v>0</v>
      </c>
      <c r="E100" s="6">
        <f t="shared" si="43"/>
        <v>0</v>
      </c>
      <c r="F100" s="6">
        <f t="shared" si="27"/>
        <v>0</v>
      </c>
      <c r="G100" s="6">
        <f t="shared" si="32"/>
        <v>0</v>
      </c>
      <c r="H100" s="6">
        <f t="shared" si="33"/>
        <v>0</v>
      </c>
      <c r="I100" s="6">
        <f t="shared" si="44"/>
        <v>0</v>
      </c>
      <c r="K100">
        <v>86</v>
      </c>
      <c r="L100">
        <f t="shared" si="34"/>
        <v>86</v>
      </c>
      <c r="M100" s="200">
        <f t="shared" si="35"/>
        <v>7.166666666666667</v>
      </c>
      <c r="N100" s="6">
        <f t="shared" si="45"/>
        <v>0</v>
      </c>
      <c r="O100" s="6">
        <f t="shared" si="46"/>
        <v>0</v>
      </c>
      <c r="P100" s="6">
        <f t="shared" si="28"/>
        <v>0</v>
      </c>
      <c r="Q100" s="6">
        <f t="shared" si="36"/>
        <v>0</v>
      </c>
      <c r="R100" s="6">
        <f t="shared" si="37"/>
        <v>0</v>
      </c>
      <c r="S100" s="6">
        <f t="shared" si="47"/>
        <v>0</v>
      </c>
      <c r="U100">
        <v>86</v>
      </c>
      <c r="V100">
        <f t="shared" si="38"/>
        <v>86</v>
      </c>
      <c r="W100" s="200">
        <f t="shared" si="39"/>
        <v>7.166666666666667</v>
      </c>
      <c r="X100" s="6">
        <f t="shared" si="48"/>
        <v>0</v>
      </c>
      <c r="Y100" s="6">
        <f t="shared" si="49"/>
        <v>0</v>
      </c>
      <c r="Z100" s="6">
        <f t="shared" si="29"/>
        <v>0</v>
      </c>
      <c r="AA100" s="6">
        <f t="shared" si="40"/>
        <v>0</v>
      </c>
      <c r="AB100" s="6">
        <f t="shared" si="41"/>
        <v>0</v>
      </c>
      <c r="AC100" s="6">
        <f t="shared" si="50"/>
        <v>0</v>
      </c>
    </row>
    <row r="101" spans="1:29" x14ac:dyDescent="0.25">
      <c r="A101">
        <v>87</v>
      </c>
      <c r="B101">
        <f t="shared" si="30"/>
        <v>87</v>
      </c>
      <c r="C101" s="200">
        <f t="shared" si="31"/>
        <v>7.25</v>
      </c>
      <c r="D101" s="6">
        <f t="shared" si="42"/>
        <v>0</v>
      </c>
      <c r="E101" s="6">
        <f t="shared" si="43"/>
        <v>0</v>
      </c>
      <c r="F101" s="6">
        <f t="shared" si="27"/>
        <v>0</v>
      </c>
      <c r="G101" s="6">
        <f t="shared" si="32"/>
        <v>0</v>
      </c>
      <c r="H101" s="6">
        <f t="shared" si="33"/>
        <v>0</v>
      </c>
      <c r="I101" s="6">
        <f t="shared" si="44"/>
        <v>0</v>
      </c>
      <c r="K101">
        <v>87</v>
      </c>
      <c r="L101">
        <f t="shared" si="34"/>
        <v>87</v>
      </c>
      <c r="M101" s="200">
        <f t="shared" si="35"/>
        <v>7.25</v>
      </c>
      <c r="N101" s="6">
        <f t="shared" si="45"/>
        <v>0</v>
      </c>
      <c r="O101" s="6">
        <f t="shared" si="46"/>
        <v>0</v>
      </c>
      <c r="P101" s="6">
        <f t="shared" si="28"/>
        <v>0</v>
      </c>
      <c r="Q101" s="6">
        <f t="shared" si="36"/>
        <v>0</v>
      </c>
      <c r="R101" s="6">
        <f t="shared" si="37"/>
        <v>0</v>
      </c>
      <c r="S101" s="6">
        <f t="shared" si="47"/>
        <v>0</v>
      </c>
      <c r="U101">
        <v>87</v>
      </c>
      <c r="V101">
        <f t="shared" si="38"/>
        <v>87</v>
      </c>
      <c r="W101" s="200">
        <f t="shared" si="39"/>
        <v>7.25</v>
      </c>
      <c r="X101" s="6">
        <f t="shared" si="48"/>
        <v>0</v>
      </c>
      <c r="Y101" s="6">
        <f t="shared" si="49"/>
        <v>0</v>
      </c>
      <c r="Z101" s="6">
        <f t="shared" si="29"/>
        <v>0</v>
      </c>
      <c r="AA101" s="6">
        <f t="shared" si="40"/>
        <v>0</v>
      </c>
      <c r="AB101" s="6">
        <f t="shared" si="41"/>
        <v>0</v>
      </c>
      <c r="AC101" s="6">
        <f t="shared" si="50"/>
        <v>0</v>
      </c>
    </row>
    <row r="102" spans="1:29" x14ac:dyDescent="0.25">
      <c r="A102">
        <v>88</v>
      </c>
      <c r="B102">
        <f t="shared" si="30"/>
        <v>88</v>
      </c>
      <c r="C102" s="200">
        <f t="shared" si="31"/>
        <v>7.333333333333333</v>
      </c>
      <c r="D102" s="6">
        <f t="shared" si="42"/>
        <v>0</v>
      </c>
      <c r="E102" s="6">
        <f t="shared" si="43"/>
        <v>0</v>
      </c>
      <c r="F102" s="6">
        <f t="shared" si="27"/>
        <v>0</v>
      </c>
      <c r="G102" s="6">
        <f t="shared" si="32"/>
        <v>0</v>
      </c>
      <c r="H102" s="6">
        <f t="shared" si="33"/>
        <v>0</v>
      </c>
      <c r="I102" s="6">
        <f t="shared" si="44"/>
        <v>0</v>
      </c>
      <c r="K102">
        <v>88</v>
      </c>
      <c r="L102">
        <f t="shared" si="34"/>
        <v>88</v>
      </c>
      <c r="M102" s="200">
        <f t="shared" si="35"/>
        <v>7.333333333333333</v>
      </c>
      <c r="N102" s="6">
        <f t="shared" si="45"/>
        <v>0</v>
      </c>
      <c r="O102" s="6">
        <f t="shared" si="46"/>
        <v>0</v>
      </c>
      <c r="P102" s="6">
        <f t="shared" si="28"/>
        <v>0</v>
      </c>
      <c r="Q102" s="6">
        <f t="shared" si="36"/>
        <v>0</v>
      </c>
      <c r="R102" s="6">
        <f t="shared" si="37"/>
        <v>0</v>
      </c>
      <c r="S102" s="6">
        <f t="shared" si="47"/>
        <v>0</v>
      </c>
      <c r="U102">
        <v>88</v>
      </c>
      <c r="V102">
        <f t="shared" si="38"/>
        <v>88</v>
      </c>
      <c r="W102" s="200">
        <f t="shared" si="39"/>
        <v>7.333333333333333</v>
      </c>
      <c r="X102" s="6">
        <f t="shared" si="48"/>
        <v>0</v>
      </c>
      <c r="Y102" s="6">
        <f t="shared" si="49"/>
        <v>0</v>
      </c>
      <c r="Z102" s="6">
        <f t="shared" si="29"/>
        <v>0</v>
      </c>
      <c r="AA102" s="6">
        <f t="shared" si="40"/>
        <v>0</v>
      </c>
      <c r="AB102" s="6">
        <f t="shared" si="41"/>
        <v>0</v>
      </c>
      <c r="AC102" s="6">
        <f t="shared" si="50"/>
        <v>0</v>
      </c>
    </row>
    <row r="103" spans="1:29" x14ac:dyDescent="0.25">
      <c r="A103">
        <v>89</v>
      </c>
      <c r="B103">
        <f t="shared" si="30"/>
        <v>89</v>
      </c>
      <c r="C103" s="200">
        <f t="shared" si="31"/>
        <v>7.416666666666667</v>
      </c>
      <c r="D103" s="6">
        <f t="shared" si="42"/>
        <v>0</v>
      </c>
      <c r="E103" s="6">
        <f t="shared" si="43"/>
        <v>0</v>
      </c>
      <c r="F103" s="6">
        <f t="shared" si="27"/>
        <v>0</v>
      </c>
      <c r="G103" s="6">
        <f t="shared" si="32"/>
        <v>0</v>
      </c>
      <c r="H103" s="6">
        <f t="shared" si="33"/>
        <v>0</v>
      </c>
      <c r="I103" s="6">
        <f t="shared" si="44"/>
        <v>0</v>
      </c>
      <c r="K103">
        <v>89</v>
      </c>
      <c r="L103">
        <f t="shared" si="34"/>
        <v>89</v>
      </c>
      <c r="M103" s="200">
        <f t="shared" si="35"/>
        <v>7.416666666666667</v>
      </c>
      <c r="N103" s="6">
        <f t="shared" si="45"/>
        <v>0</v>
      </c>
      <c r="O103" s="6">
        <f t="shared" si="46"/>
        <v>0</v>
      </c>
      <c r="P103" s="6">
        <f t="shared" si="28"/>
        <v>0</v>
      </c>
      <c r="Q103" s="6">
        <f t="shared" si="36"/>
        <v>0</v>
      </c>
      <c r="R103" s="6">
        <f t="shared" si="37"/>
        <v>0</v>
      </c>
      <c r="S103" s="6">
        <f t="shared" si="47"/>
        <v>0</v>
      </c>
      <c r="U103">
        <v>89</v>
      </c>
      <c r="V103">
        <f t="shared" si="38"/>
        <v>89</v>
      </c>
      <c r="W103" s="200">
        <f t="shared" si="39"/>
        <v>7.416666666666667</v>
      </c>
      <c r="X103" s="6">
        <f t="shared" si="48"/>
        <v>0</v>
      </c>
      <c r="Y103" s="6">
        <f t="shared" si="49"/>
        <v>0</v>
      </c>
      <c r="Z103" s="6">
        <f t="shared" si="29"/>
        <v>0</v>
      </c>
      <c r="AA103" s="6">
        <f t="shared" si="40"/>
        <v>0</v>
      </c>
      <c r="AB103" s="6">
        <f t="shared" si="41"/>
        <v>0</v>
      </c>
      <c r="AC103" s="6">
        <f t="shared" si="50"/>
        <v>0</v>
      </c>
    </row>
    <row r="104" spans="1:29" x14ac:dyDescent="0.25">
      <c r="A104">
        <v>90</v>
      </c>
      <c r="B104">
        <f t="shared" si="30"/>
        <v>90</v>
      </c>
      <c r="C104" s="200">
        <f t="shared" si="31"/>
        <v>7.5</v>
      </c>
      <c r="D104" s="6">
        <f t="shared" si="42"/>
        <v>0</v>
      </c>
      <c r="E104" s="6">
        <f t="shared" si="43"/>
        <v>0</v>
      </c>
      <c r="F104" s="6">
        <f t="shared" si="27"/>
        <v>0</v>
      </c>
      <c r="G104" s="6">
        <f t="shared" si="32"/>
        <v>0</v>
      </c>
      <c r="H104" s="6">
        <f t="shared" si="33"/>
        <v>0</v>
      </c>
      <c r="I104" s="6">
        <f t="shared" si="44"/>
        <v>0</v>
      </c>
      <c r="K104">
        <v>90</v>
      </c>
      <c r="L104">
        <f t="shared" si="34"/>
        <v>90</v>
      </c>
      <c r="M104" s="200">
        <f t="shared" si="35"/>
        <v>7.5</v>
      </c>
      <c r="N104" s="6">
        <f t="shared" si="45"/>
        <v>0</v>
      </c>
      <c r="O104" s="6">
        <f t="shared" si="46"/>
        <v>0</v>
      </c>
      <c r="P104" s="6">
        <f t="shared" si="28"/>
        <v>0</v>
      </c>
      <c r="Q104" s="6">
        <f t="shared" si="36"/>
        <v>0</v>
      </c>
      <c r="R104" s="6">
        <f t="shared" si="37"/>
        <v>0</v>
      </c>
      <c r="S104" s="6">
        <f t="shared" si="47"/>
        <v>0</v>
      </c>
      <c r="U104">
        <v>90</v>
      </c>
      <c r="V104">
        <f t="shared" si="38"/>
        <v>90</v>
      </c>
      <c r="W104" s="200">
        <f t="shared" si="39"/>
        <v>7.5</v>
      </c>
      <c r="X104" s="6">
        <f t="shared" si="48"/>
        <v>0</v>
      </c>
      <c r="Y104" s="6">
        <f t="shared" si="49"/>
        <v>0</v>
      </c>
      <c r="Z104" s="6">
        <f t="shared" si="29"/>
        <v>0</v>
      </c>
      <c r="AA104" s="6">
        <f t="shared" si="40"/>
        <v>0</v>
      </c>
      <c r="AB104" s="6">
        <f t="shared" si="41"/>
        <v>0</v>
      </c>
      <c r="AC104" s="6">
        <f t="shared" si="50"/>
        <v>0</v>
      </c>
    </row>
    <row r="105" spans="1:29" x14ac:dyDescent="0.25">
      <c r="A105">
        <v>91</v>
      </c>
      <c r="B105">
        <f t="shared" si="30"/>
        <v>91</v>
      </c>
      <c r="C105" s="200">
        <f t="shared" si="31"/>
        <v>7.583333333333333</v>
      </c>
      <c r="D105" s="6">
        <f t="shared" si="42"/>
        <v>0</v>
      </c>
      <c r="E105" s="6">
        <f t="shared" si="43"/>
        <v>0</v>
      </c>
      <c r="F105" s="6">
        <f t="shared" si="27"/>
        <v>0</v>
      </c>
      <c r="G105" s="6">
        <f t="shared" si="32"/>
        <v>0</v>
      </c>
      <c r="H105" s="6">
        <f t="shared" si="33"/>
        <v>0</v>
      </c>
      <c r="I105" s="6">
        <f t="shared" si="44"/>
        <v>0</v>
      </c>
      <c r="K105">
        <v>91</v>
      </c>
      <c r="L105">
        <f t="shared" si="34"/>
        <v>91</v>
      </c>
      <c r="M105" s="200">
        <f t="shared" si="35"/>
        <v>7.583333333333333</v>
      </c>
      <c r="N105" s="6">
        <f t="shared" si="45"/>
        <v>0</v>
      </c>
      <c r="O105" s="6">
        <f t="shared" si="46"/>
        <v>0</v>
      </c>
      <c r="P105" s="6">
        <f t="shared" si="28"/>
        <v>0</v>
      </c>
      <c r="Q105" s="6">
        <f t="shared" si="36"/>
        <v>0</v>
      </c>
      <c r="R105" s="6">
        <f t="shared" si="37"/>
        <v>0</v>
      </c>
      <c r="S105" s="6">
        <f t="shared" si="47"/>
        <v>0</v>
      </c>
      <c r="U105">
        <v>91</v>
      </c>
      <c r="V105">
        <f t="shared" si="38"/>
        <v>91</v>
      </c>
      <c r="W105" s="200">
        <f t="shared" si="39"/>
        <v>7.583333333333333</v>
      </c>
      <c r="X105" s="6">
        <f t="shared" si="48"/>
        <v>0</v>
      </c>
      <c r="Y105" s="6">
        <f t="shared" si="49"/>
        <v>0</v>
      </c>
      <c r="Z105" s="6">
        <f t="shared" si="29"/>
        <v>0</v>
      </c>
      <c r="AA105" s="6">
        <f t="shared" si="40"/>
        <v>0</v>
      </c>
      <c r="AB105" s="6">
        <f t="shared" si="41"/>
        <v>0</v>
      </c>
      <c r="AC105" s="6">
        <f t="shared" si="50"/>
        <v>0</v>
      </c>
    </row>
    <row r="106" spans="1:29" x14ac:dyDescent="0.25">
      <c r="A106">
        <v>92</v>
      </c>
      <c r="B106">
        <f t="shared" si="30"/>
        <v>92</v>
      </c>
      <c r="C106" s="200">
        <f t="shared" si="31"/>
        <v>7.666666666666667</v>
      </c>
      <c r="D106" s="6">
        <f t="shared" si="42"/>
        <v>0</v>
      </c>
      <c r="E106" s="6">
        <f t="shared" si="43"/>
        <v>0</v>
      </c>
      <c r="F106" s="6">
        <f t="shared" si="27"/>
        <v>0</v>
      </c>
      <c r="G106" s="6">
        <f t="shared" si="32"/>
        <v>0</v>
      </c>
      <c r="H106" s="6">
        <f t="shared" si="33"/>
        <v>0</v>
      </c>
      <c r="I106" s="6">
        <f t="shared" si="44"/>
        <v>0</v>
      </c>
      <c r="K106">
        <v>92</v>
      </c>
      <c r="L106">
        <f t="shared" si="34"/>
        <v>92</v>
      </c>
      <c r="M106" s="200">
        <f t="shared" si="35"/>
        <v>7.666666666666667</v>
      </c>
      <c r="N106" s="6">
        <f t="shared" si="45"/>
        <v>0</v>
      </c>
      <c r="O106" s="6">
        <f t="shared" si="46"/>
        <v>0</v>
      </c>
      <c r="P106" s="6">
        <f t="shared" si="28"/>
        <v>0</v>
      </c>
      <c r="Q106" s="6">
        <f t="shared" si="36"/>
        <v>0</v>
      </c>
      <c r="R106" s="6">
        <f t="shared" si="37"/>
        <v>0</v>
      </c>
      <c r="S106" s="6">
        <f t="shared" si="47"/>
        <v>0</v>
      </c>
      <c r="U106">
        <v>92</v>
      </c>
      <c r="V106">
        <f t="shared" si="38"/>
        <v>92</v>
      </c>
      <c r="W106" s="200">
        <f t="shared" si="39"/>
        <v>7.666666666666667</v>
      </c>
      <c r="X106" s="6">
        <f t="shared" si="48"/>
        <v>0</v>
      </c>
      <c r="Y106" s="6">
        <f t="shared" si="49"/>
        <v>0</v>
      </c>
      <c r="Z106" s="6">
        <f t="shared" si="29"/>
        <v>0</v>
      </c>
      <c r="AA106" s="6">
        <f t="shared" si="40"/>
        <v>0</v>
      </c>
      <c r="AB106" s="6">
        <f t="shared" si="41"/>
        <v>0</v>
      </c>
      <c r="AC106" s="6">
        <f t="shared" si="50"/>
        <v>0</v>
      </c>
    </row>
    <row r="107" spans="1:29" x14ac:dyDescent="0.25">
      <c r="A107">
        <v>93</v>
      </c>
      <c r="B107">
        <f t="shared" si="30"/>
        <v>93</v>
      </c>
      <c r="C107" s="200">
        <f t="shared" si="31"/>
        <v>7.75</v>
      </c>
      <c r="D107" s="6">
        <f t="shared" si="42"/>
        <v>0</v>
      </c>
      <c r="E107" s="6">
        <f t="shared" si="43"/>
        <v>0</v>
      </c>
      <c r="F107" s="6">
        <f t="shared" si="27"/>
        <v>0</v>
      </c>
      <c r="G107" s="6">
        <f t="shared" si="32"/>
        <v>0</v>
      </c>
      <c r="H107" s="6">
        <f t="shared" si="33"/>
        <v>0</v>
      </c>
      <c r="I107" s="6">
        <f t="shared" si="44"/>
        <v>0</v>
      </c>
      <c r="K107">
        <v>93</v>
      </c>
      <c r="L107">
        <f t="shared" si="34"/>
        <v>93</v>
      </c>
      <c r="M107" s="200">
        <f t="shared" si="35"/>
        <v>7.75</v>
      </c>
      <c r="N107" s="6">
        <f t="shared" si="45"/>
        <v>0</v>
      </c>
      <c r="O107" s="6">
        <f t="shared" si="46"/>
        <v>0</v>
      </c>
      <c r="P107" s="6">
        <f t="shared" si="28"/>
        <v>0</v>
      </c>
      <c r="Q107" s="6">
        <f t="shared" si="36"/>
        <v>0</v>
      </c>
      <c r="R107" s="6">
        <f t="shared" si="37"/>
        <v>0</v>
      </c>
      <c r="S107" s="6">
        <f t="shared" si="47"/>
        <v>0</v>
      </c>
      <c r="U107">
        <v>93</v>
      </c>
      <c r="V107">
        <f t="shared" si="38"/>
        <v>93</v>
      </c>
      <c r="W107" s="200">
        <f t="shared" si="39"/>
        <v>7.75</v>
      </c>
      <c r="X107" s="6">
        <f t="shared" si="48"/>
        <v>0</v>
      </c>
      <c r="Y107" s="6">
        <f t="shared" si="49"/>
        <v>0</v>
      </c>
      <c r="Z107" s="6">
        <f t="shared" si="29"/>
        <v>0</v>
      </c>
      <c r="AA107" s="6">
        <f t="shared" si="40"/>
        <v>0</v>
      </c>
      <c r="AB107" s="6">
        <f t="shared" si="41"/>
        <v>0</v>
      </c>
      <c r="AC107" s="6">
        <f t="shared" si="50"/>
        <v>0</v>
      </c>
    </row>
    <row r="108" spans="1:29" x14ac:dyDescent="0.25">
      <c r="A108">
        <v>94</v>
      </c>
      <c r="B108">
        <f t="shared" si="30"/>
        <v>94</v>
      </c>
      <c r="C108" s="200">
        <f t="shared" si="31"/>
        <v>7.833333333333333</v>
      </c>
      <c r="D108" s="6">
        <f t="shared" si="42"/>
        <v>0</v>
      </c>
      <c r="E108" s="6">
        <f t="shared" si="43"/>
        <v>0</v>
      </c>
      <c r="F108" s="6">
        <f t="shared" si="27"/>
        <v>0</v>
      </c>
      <c r="G108" s="6">
        <f t="shared" si="32"/>
        <v>0</v>
      </c>
      <c r="H108" s="6">
        <f t="shared" si="33"/>
        <v>0</v>
      </c>
      <c r="I108" s="6">
        <f t="shared" si="44"/>
        <v>0</v>
      </c>
      <c r="K108">
        <v>94</v>
      </c>
      <c r="L108">
        <f t="shared" si="34"/>
        <v>94</v>
      </c>
      <c r="M108" s="200">
        <f t="shared" si="35"/>
        <v>7.833333333333333</v>
      </c>
      <c r="N108" s="6">
        <f t="shared" si="45"/>
        <v>0</v>
      </c>
      <c r="O108" s="6">
        <f t="shared" si="46"/>
        <v>0</v>
      </c>
      <c r="P108" s="6">
        <f t="shared" si="28"/>
        <v>0</v>
      </c>
      <c r="Q108" s="6">
        <f t="shared" si="36"/>
        <v>0</v>
      </c>
      <c r="R108" s="6">
        <f t="shared" si="37"/>
        <v>0</v>
      </c>
      <c r="S108" s="6">
        <f t="shared" si="47"/>
        <v>0</v>
      </c>
      <c r="U108">
        <v>94</v>
      </c>
      <c r="V108">
        <f t="shared" si="38"/>
        <v>94</v>
      </c>
      <c r="W108" s="200">
        <f t="shared" si="39"/>
        <v>7.833333333333333</v>
      </c>
      <c r="X108" s="6">
        <f t="shared" si="48"/>
        <v>0</v>
      </c>
      <c r="Y108" s="6">
        <f t="shared" si="49"/>
        <v>0</v>
      </c>
      <c r="Z108" s="6">
        <f t="shared" si="29"/>
        <v>0</v>
      </c>
      <c r="AA108" s="6">
        <f t="shared" si="40"/>
        <v>0</v>
      </c>
      <c r="AB108" s="6">
        <f t="shared" si="41"/>
        <v>0</v>
      </c>
      <c r="AC108" s="6">
        <f t="shared" si="50"/>
        <v>0</v>
      </c>
    </row>
    <row r="109" spans="1:29" x14ac:dyDescent="0.25">
      <c r="A109">
        <v>95</v>
      </c>
      <c r="B109">
        <f t="shared" si="30"/>
        <v>95</v>
      </c>
      <c r="C109" s="200">
        <f t="shared" si="31"/>
        <v>7.916666666666667</v>
      </c>
      <c r="D109" s="6">
        <f t="shared" si="42"/>
        <v>0</v>
      </c>
      <c r="E109" s="6">
        <f t="shared" si="43"/>
        <v>0</v>
      </c>
      <c r="F109" s="6">
        <f t="shared" si="27"/>
        <v>0</v>
      </c>
      <c r="G109" s="6">
        <f t="shared" si="32"/>
        <v>0</v>
      </c>
      <c r="H109" s="6">
        <f t="shared" si="33"/>
        <v>0</v>
      </c>
      <c r="I109" s="6">
        <f t="shared" si="44"/>
        <v>0</v>
      </c>
      <c r="K109">
        <v>95</v>
      </c>
      <c r="L109">
        <f t="shared" si="34"/>
        <v>95</v>
      </c>
      <c r="M109" s="200">
        <f t="shared" si="35"/>
        <v>7.916666666666667</v>
      </c>
      <c r="N109" s="6">
        <f t="shared" si="45"/>
        <v>0</v>
      </c>
      <c r="O109" s="6">
        <f t="shared" si="46"/>
        <v>0</v>
      </c>
      <c r="P109" s="6">
        <f t="shared" si="28"/>
        <v>0</v>
      </c>
      <c r="Q109" s="6">
        <f t="shared" si="36"/>
        <v>0</v>
      </c>
      <c r="R109" s="6">
        <f t="shared" si="37"/>
        <v>0</v>
      </c>
      <c r="S109" s="6">
        <f t="shared" si="47"/>
        <v>0</v>
      </c>
      <c r="U109">
        <v>95</v>
      </c>
      <c r="V109">
        <f t="shared" si="38"/>
        <v>95</v>
      </c>
      <c r="W109" s="200">
        <f t="shared" si="39"/>
        <v>7.916666666666667</v>
      </c>
      <c r="X109" s="6">
        <f t="shared" si="48"/>
        <v>0</v>
      </c>
      <c r="Y109" s="6">
        <f t="shared" si="49"/>
        <v>0</v>
      </c>
      <c r="Z109" s="6">
        <f t="shared" si="29"/>
        <v>0</v>
      </c>
      <c r="AA109" s="6">
        <f t="shared" si="40"/>
        <v>0</v>
      </c>
      <c r="AB109" s="6">
        <f t="shared" si="41"/>
        <v>0</v>
      </c>
      <c r="AC109" s="6">
        <f t="shared" si="50"/>
        <v>0</v>
      </c>
    </row>
    <row r="110" spans="1:29" x14ac:dyDescent="0.25">
      <c r="A110">
        <v>96</v>
      </c>
      <c r="B110">
        <f t="shared" si="30"/>
        <v>96</v>
      </c>
      <c r="C110" s="200">
        <f t="shared" si="31"/>
        <v>8</v>
      </c>
      <c r="D110" s="6">
        <f t="shared" si="42"/>
        <v>0</v>
      </c>
      <c r="E110" s="6">
        <f t="shared" si="43"/>
        <v>0</v>
      </c>
      <c r="F110" s="6">
        <f t="shared" si="27"/>
        <v>0</v>
      </c>
      <c r="G110" s="6">
        <f t="shared" si="32"/>
        <v>0</v>
      </c>
      <c r="H110" s="6">
        <f t="shared" si="33"/>
        <v>0</v>
      </c>
      <c r="I110" s="6">
        <f t="shared" si="44"/>
        <v>0</v>
      </c>
      <c r="K110">
        <v>96</v>
      </c>
      <c r="L110">
        <f t="shared" si="34"/>
        <v>96</v>
      </c>
      <c r="M110" s="200">
        <f t="shared" si="35"/>
        <v>8</v>
      </c>
      <c r="N110" s="6">
        <f t="shared" si="45"/>
        <v>0</v>
      </c>
      <c r="O110" s="6">
        <f t="shared" si="46"/>
        <v>0</v>
      </c>
      <c r="P110" s="6">
        <f t="shared" si="28"/>
        <v>0</v>
      </c>
      <c r="Q110" s="6">
        <f t="shared" si="36"/>
        <v>0</v>
      </c>
      <c r="R110" s="6">
        <f t="shared" si="37"/>
        <v>0</v>
      </c>
      <c r="S110" s="6">
        <f t="shared" si="47"/>
        <v>0</v>
      </c>
      <c r="U110">
        <v>96</v>
      </c>
      <c r="V110">
        <f t="shared" si="38"/>
        <v>96</v>
      </c>
      <c r="W110" s="200">
        <f t="shared" si="39"/>
        <v>8</v>
      </c>
      <c r="X110" s="6">
        <f t="shared" si="48"/>
        <v>0</v>
      </c>
      <c r="Y110" s="6">
        <f t="shared" si="49"/>
        <v>0</v>
      </c>
      <c r="Z110" s="6">
        <f t="shared" si="29"/>
        <v>0</v>
      </c>
      <c r="AA110" s="6">
        <f t="shared" si="40"/>
        <v>0</v>
      </c>
      <c r="AB110" s="6">
        <f t="shared" si="41"/>
        <v>0</v>
      </c>
      <c r="AC110" s="6">
        <f t="shared" si="50"/>
        <v>0</v>
      </c>
    </row>
    <row r="111" spans="1:29" x14ac:dyDescent="0.25">
      <c r="A111">
        <v>97</v>
      </c>
      <c r="B111">
        <f t="shared" si="30"/>
        <v>97</v>
      </c>
      <c r="C111" s="200">
        <f t="shared" si="31"/>
        <v>8.0833333333333339</v>
      </c>
      <c r="D111" s="6">
        <f t="shared" si="42"/>
        <v>0</v>
      </c>
      <c r="E111" s="6">
        <f t="shared" si="43"/>
        <v>0</v>
      </c>
      <c r="F111" s="6">
        <f t="shared" ref="F111:F142" si="51">IF(B$10&gt;=A111,0,E111-G111)</f>
        <v>0</v>
      </c>
      <c r="G111" s="6">
        <f t="shared" si="32"/>
        <v>0</v>
      </c>
      <c r="H111" s="6">
        <f t="shared" si="33"/>
        <v>0</v>
      </c>
      <c r="I111" s="6">
        <f t="shared" si="44"/>
        <v>0</v>
      </c>
      <c r="K111">
        <v>97</v>
      </c>
      <c r="L111">
        <f t="shared" si="34"/>
        <v>97</v>
      </c>
      <c r="M111" s="200">
        <f t="shared" si="35"/>
        <v>8.0833333333333339</v>
      </c>
      <c r="N111" s="6">
        <f t="shared" si="45"/>
        <v>0</v>
      </c>
      <c r="O111" s="6">
        <f t="shared" si="46"/>
        <v>0</v>
      </c>
      <c r="P111" s="6">
        <f t="shared" ref="P111:P142" si="52">IF(L$10&gt;=K111,0,O111-Q111)</f>
        <v>0</v>
      </c>
      <c r="Q111" s="6">
        <f t="shared" si="36"/>
        <v>0</v>
      </c>
      <c r="R111" s="6">
        <f t="shared" si="37"/>
        <v>0</v>
      </c>
      <c r="S111" s="6">
        <f t="shared" si="47"/>
        <v>0</v>
      </c>
      <c r="U111">
        <v>97</v>
      </c>
      <c r="V111">
        <f t="shared" si="38"/>
        <v>97</v>
      </c>
      <c r="W111" s="200">
        <f t="shared" si="39"/>
        <v>8.0833333333333339</v>
      </c>
      <c r="X111" s="6">
        <f t="shared" si="48"/>
        <v>0</v>
      </c>
      <c r="Y111" s="6">
        <f t="shared" si="49"/>
        <v>0</v>
      </c>
      <c r="Z111" s="6">
        <f t="shared" ref="Z111:Z142" si="53">IF(V$10&gt;=U111,0,Y111-AA111)</f>
        <v>0</v>
      </c>
      <c r="AA111" s="6">
        <f t="shared" si="40"/>
        <v>0</v>
      </c>
      <c r="AB111" s="6">
        <f t="shared" si="41"/>
        <v>0</v>
      </c>
      <c r="AC111" s="6">
        <f t="shared" si="50"/>
        <v>0</v>
      </c>
    </row>
    <row r="112" spans="1:29" x14ac:dyDescent="0.25">
      <c r="A112">
        <v>98</v>
      </c>
      <c r="B112">
        <f t="shared" si="30"/>
        <v>98</v>
      </c>
      <c r="C112" s="200">
        <f t="shared" si="31"/>
        <v>8.1666666666666661</v>
      </c>
      <c r="D112" s="6">
        <f t="shared" si="42"/>
        <v>0</v>
      </c>
      <c r="E112" s="6">
        <f t="shared" si="43"/>
        <v>0</v>
      </c>
      <c r="F112" s="6">
        <f t="shared" si="51"/>
        <v>0</v>
      </c>
      <c r="G112" s="6">
        <f t="shared" si="32"/>
        <v>0</v>
      </c>
      <c r="H112" s="6">
        <f t="shared" si="33"/>
        <v>0</v>
      </c>
      <c r="I112" s="6">
        <f t="shared" si="44"/>
        <v>0</v>
      </c>
      <c r="K112">
        <v>98</v>
      </c>
      <c r="L112">
        <f t="shared" si="34"/>
        <v>98</v>
      </c>
      <c r="M112" s="200">
        <f t="shared" si="35"/>
        <v>8.1666666666666661</v>
      </c>
      <c r="N112" s="6">
        <f t="shared" si="45"/>
        <v>0</v>
      </c>
      <c r="O112" s="6">
        <f t="shared" si="46"/>
        <v>0</v>
      </c>
      <c r="P112" s="6">
        <f t="shared" si="52"/>
        <v>0</v>
      </c>
      <c r="Q112" s="6">
        <f t="shared" si="36"/>
        <v>0</v>
      </c>
      <c r="R112" s="6">
        <f t="shared" si="37"/>
        <v>0</v>
      </c>
      <c r="S112" s="6">
        <f t="shared" si="47"/>
        <v>0</v>
      </c>
      <c r="U112">
        <v>98</v>
      </c>
      <c r="V112">
        <f t="shared" si="38"/>
        <v>98</v>
      </c>
      <c r="W112" s="200">
        <f t="shared" si="39"/>
        <v>8.1666666666666661</v>
      </c>
      <c r="X112" s="6">
        <f t="shared" si="48"/>
        <v>0</v>
      </c>
      <c r="Y112" s="6">
        <f t="shared" si="49"/>
        <v>0</v>
      </c>
      <c r="Z112" s="6">
        <f t="shared" si="53"/>
        <v>0</v>
      </c>
      <c r="AA112" s="6">
        <f t="shared" si="40"/>
        <v>0</v>
      </c>
      <c r="AB112" s="6">
        <f t="shared" si="41"/>
        <v>0</v>
      </c>
      <c r="AC112" s="6">
        <f t="shared" si="50"/>
        <v>0</v>
      </c>
    </row>
    <row r="113" spans="1:29" x14ac:dyDescent="0.25">
      <c r="A113">
        <v>99</v>
      </c>
      <c r="B113">
        <f t="shared" si="30"/>
        <v>99</v>
      </c>
      <c r="C113" s="200">
        <f t="shared" si="31"/>
        <v>8.25</v>
      </c>
      <c r="D113" s="6">
        <f t="shared" si="42"/>
        <v>0</v>
      </c>
      <c r="E113" s="6">
        <f t="shared" si="43"/>
        <v>0</v>
      </c>
      <c r="F113" s="6">
        <f t="shared" si="51"/>
        <v>0</v>
      </c>
      <c r="G113" s="6">
        <f t="shared" si="32"/>
        <v>0</v>
      </c>
      <c r="H113" s="6">
        <f t="shared" si="33"/>
        <v>0</v>
      </c>
      <c r="I113" s="6">
        <f t="shared" si="44"/>
        <v>0</v>
      </c>
      <c r="K113">
        <v>99</v>
      </c>
      <c r="L113">
        <f t="shared" si="34"/>
        <v>99</v>
      </c>
      <c r="M113" s="200">
        <f t="shared" si="35"/>
        <v>8.25</v>
      </c>
      <c r="N113" s="6">
        <f t="shared" si="45"/>
        <v>0</v>
      </c>
      <c r="O113" s="6">
        <f t="shared" si="46"/>
        <v>0</v>
      </c>
      <c r="P113" s="6">
        <f t="shared" si="52"/>
        <v>0</v>
      </c>
      <c r="Q113" s="6">
        <f t="shared" si="36"/>
        <v>0</v>
      </c>
      <c r="R113" s="6">
        <f t="shared" si="37"/>
        <v>0</v>
      </c>
      <c r="S113" s="6">
        <f t="shared" si="47"/>
        <v>0</v>
      </c>
      <c r="U113">
        <v>99</v>
      </c>
      <c r="V113">
        <f t="shared" si="38"/>
        <v>99</v>
      </c>
      <c r="W113" s="200">
        <f t="shared" si="39"/>
        <v>8.25</v>
      </c>
      <c r="X113" s="6">
        <f t="shared" si="48"/>
        <v>0</v>
      </c>
      <c r="Y113" s="6">
        <f t="shared" si="49"/>
        <v>0</v>
      </c>
      <c r="Z113" s="6">
        <f t="shared" si="53"/>
        <v>0</v>
      </c>
      <c r="AA113" s="6">
        <f t="shared" si="40"/>
        <v>0</v>
      </c>
      <c r="AB113" s="6">
        <f t="shared" si="41"/>
        <v>0</v>
      </c>
      <c r="AC113" s="6">
        <f t="shared" si="50"/>
        <v>0</v>
      </c>
    </row>
    <row r="114" spans="1:29" x14ac:dyDescent="0.25">
      <c r="A114">
        <v>100</v>
      </c>
      <c r="B114">
        <f t="shared" si="30"/>
        <v>100</v>
      </c>
      <c r="C114" s="200">
        <f t="shared" si="31"/>
        <v>8.3333333333333339</v>
      </c>
      <c r="D114" s="6">
        <f t="shared" si="42"/>
        <v>0</v>
      </c>
      <c r="E114" s="6">
        <f t="shared" si="43"/>
        <v>0</v>
      </c>
      <c r="F114" s="6">
        <f t="shared" si="51"/>
        <v>0</v>
      </c>
      <c r="G114" s="6">
        <f t="shared" si="32"/>
        <v>0</v>
      </c>
      <c r="H114" s="6">
        <f t="shared" si="33"/>
        <v>0</v>
      </c>
      <c r="I114" s="6">
        <f t="shared" si="44"/>
        <v>0</v>
      </c>
      <c r="K114">
        <v>100</v>
      </c>
      <c r="L114">
        <f t="shared" si="34"/>
        <v>100</v>
      </c>
      <c r="M114" s="200">
        <f t="shared" si="35"/>
        <v>8.3333333333333339</v>
      </c>
      <c r="N114" s="6">
        <f t="shared" si="45"/>
        <v>0</v>
      </c>
      <c r="O114" s="6">
        <f t="shared" si="46"/>
        <v>0</v>
      </c>
      <c r="P114" s="6">
        <f t="shared" si="52"/>
        <v>0</v>
      </c>
      <c r="Q114" s="6">
        <f t="shared" si="36"/>
        <v>0</v>
      </c>
      <c r="R114" s="6">
        <f t="shared" si="37"/>
        <v>0</v>
      </c>
      <c r="S114" s="6">
        <f t="shared" si="47"/>
        <v>0</v>
      </c>
      <c r="U114">
        <v>100</v>
      </c>
      <c r="V114">
        <f t="shared" si="38"/>
        <v>100</v>
      </c>
      <c r="W114" s="200">
        <f t="shared" si="39"/>
        <v>8.3333333333333339</v>
      </c>
      <c r="X114" s="6">
        <f t="shared" si="48"/>
        <v>0</v>
      </c>
      <c r="Y114" s="6">
        <f t="shared" si="49"/>
        <v>0</v>
      </c>
      <c r="Z114" s="6">
        <f t="shared" si="53"/>
        <v>0</v>
      </c>
      <c r="AA114" s="6">
        <f t="shared" si="40"/>
        <v>0</v>
      </c>
      <c r="AB114" s="6">
        <f t="shared" si="41"/>
        <v>0</v>
      </c>
      <c r="AC114" s="6">
        <f t="shared" si="50"/>
        <v>0</v>
      </c>
    </row>
    <row r="115" spans="1:29" x14ac:dyDescent="0.25">
      <c r="A115">
        <v>101</v>
      </c>
      <c r="B115">
        <f t="shared" si="30"/>
        <v>101</v>
      </c>
      <c r="C115" s="200">
        <f t="shared" si="31"/>
        <v>8.4166666666666661</v>
      </c>
      <c r="D115" s="6">
        <f t="shared" si="42"/>
        <v>0</v>
      </c>
      <c r="E115" s="6">
        <f t="shared" si="43"/>
        <v>0</v>
      </c>
      <c r="F115" s="6">
        <f t="shared" si="51"/>
        <v>0</v>
      </c>
      <c r="G115" s="6">
        <f t="shared" si="32"/>
        <v>0</v>
      </c>
      <c r="H115" s="6">
        <f t="shared" si="33"/>
        <v>0</v>
      </c>
      <c r="I115" s="6">
        <f t="shared" si="44"/>
        <v>0</v>
      </c>
      <c r="K115">
        <v>101</v>
      </c>
      <c r="L115">
        <f t="shared" si="34"/>
        <v>101</v>
      </c>
      <c r="M115" s="200">
        <f t="shared" si="35"/>
        <v>8.4166666666666661</v>
      </c>
      <c r="N115" s="6">
        <f t="shared" si="45"/>
        <v>0</v>
      </c>
      <c r="O115" s="6">
        <f t="shared" si="46"/>
        <v>0</v>
      </c>
      <c r="P115" s="6">
        <f t="shared" si="52"/>
        <v>0</v>
      </c>
      <c r="Q115" s="6">
        <f t="shared" si="36"/>
        <v>0</v>
      </c>
      <c r="R115" s="6">
        <f t="shared" si="37"/>
        <v>0</v>
      </c>
      <c r="S115" s="6">
        <f t="shared" si="47"/>
        <v>0</v>
      </c>
      <c r="U115">
        <v>101</v>
      </c>
      <c r="V115">
        <f t="shared" si="38"/>
        <v>101</v>
      </c>
      <c r="W115" s="200">
        <f t="shared" si="39"/>
        <v>8.4166666666666661</v>
      </c>
      <c r="X115" s="6">
        <f t="shared" si="48"/>
        <v>0</v>
      </c>
      <c r="Y115" s="6">
        <f t="shared" si="49"/>
        <v>0</v>
      </c>
      <c r="Z115" s="6">
        <f t="shared" si="53"/>
        <v>0</v>
      </c>
      <c r="AA115" s="6">
        <f t="shared" si="40"/>
        <v>0</v>
      </c>
      <c r="AB115" s="6">
        <f t="shared" si="41"/>
        <v>0</v>
      </c>
      <c r="AC115" s="6">
        <f t="shared" si="50"/>
        <v>0</v>
      </c>
    </row>
    <row r="116" spans="1:29" x14ac:dyDescent="0.25">
      <c r="A116">
        <v>102</v>
      </c>
      <c r="B116">
        <f t="shared" si="30"/>
        <v>102</v>
      </c>
      <c r="C116" s="200">
        <f t="shared" si="31"/>
        <v>8.5</v>
      </c>
      <c r="D116" s="6">
        <f t="shared" si="42"/>
        <v>0</v>
      </c>
      <c r="E116" s="6">
        <f t="shared" si="43"/>
        <v>0</v>
      </c>
      <c r="F116" s="6">
        <f t="shared" si="51"/>
        <v>0</v>
      </c>
      <c r="G116" s="6">
        <f t="shared" si="32"/>
        <v>0</v>
      </c>
      <c r="H116" s="6">
        <f t="shared" si="33"/>
        <v>0</v>
      </c>
      <c r="I116" s="6">
        <f t="shared" si="44"/>
        <v>0</v>
      </c>
      <c r="K116">
        <v>102</v>
      </c>
      <c r="L116">
        <f t="shared" si="34"/>
        <v>102</v>
      </c>
      <c r="M116" s="200">
        <f t="shared" si="35"/>
        <v>8.5</v>
      </c>
      <c r="N116" s="6">
        <f t="shared" si="45"/>
        <v>0</v>
      </c>
      <c r="O116" s="6">
        <f t="shared" si="46"/>
        <v>0</v>
      </c>
      <c r="P116" s="6">
        <f t="shared" si="52"/>
        <v>0</v>
      </c>
      <c r="Q116" s="6">
        <f t="shared" si="36"/>
        <v>0</v>
      </c>
      <c r="R116" s="6">
        <f t="shared" si="37"/>
        <v>0</v>
      </c>
      <c r="S116" s="6">
        <f t="shared" si="47"/>
        <v>0</v>
      </c>
      <c r="U116">
        <v>102</v>
      </c>
      <c r="V116">
        <f t="shared" si="38"/>
        <v>102</v>
      </c>
      <c r="W116" s="200">
        <f t="shared" si="39"/>
        <v>8.5</v>
      </c>
      <c r="X116" s="6">
        <f t="shared" si="48"/>
        <v>0</v>
      </c>
      <c r="Y116" s="6">
        <f t="shared" si="49"/>
        <v>0</v>
      </c>
      <c r="Z116" s="6">
        <f t="shared" si="53"/>
        <v>0</v>
      </c>
      <c r="AA116" s="6">
        <f t="shared" si="40"/>
        <v>0</v>
      </c>
      <c r="AB116" s="6">
        <f t="shared" si="41"/>
        <v>0</v>
      </c>
      <c r="AC116" s="6">
        <f t="shared" si="50"/>
        <v>0</v>
      </c>
    </row>
    <row r="117" spans="1:29" x14ac:dyDescent="0.25">
      <c r="A117">
        <v>103</v>
      </c>
      <c r="B117">
        <f t="shared" si="30"/>
        <v>103</v>
      </c>
      <c r="C117" s="200">
        <f t="shared" si="31"/>
        <v>8.5833333333333339</v>
      </c>
      <c r="D117" s="6">
        <f t="shared" si="42"/>
        <v>0</v>
      </c>
      <c r="E117" s="6">
        <f t="shared" si="43"/>
        <v>0</v>
      </c>
      <c r="F117" s="6">
        <f t="shared" si="51"/>
        <v>0</v>
      </c>
      <c r="G117" s="6">
        <f t="shared" si="32"/>
        <v>0</v>
      </c>
      <c r="H117" s="6">
        <f t="shared" si="33"/>
        <v>0</v>
      </c>
      <c r="I117" s="6">
        <f t="shared" si="44"/>
        <v>0</v>
      </c>
      <c r="K117">
        <v>103</v>
      </c>
      <c r="L117">
        <f t="shared" si="34"/>
        <v>103</v>
      </c>
      <c r="M117" s="200">
        <f t="shared" si="35"/>
        <v>8.5833333333333339</v>
      </c>
      <c r="N117" s="6">
        <f t="shared" si="45"/>
        <v>0</v>
      </c>
      <c r="O117" s="6">
        <f t="shared" si="46"/>
        <v>0</v>
      </c>
      <c r="P117" s="6">
        <f t="shared" si="52"/>
        <v>0</v>
      </c>
      <c r="Q117" s="6">
        <f t="shared" si="36"/>
        <v>0</v>
      </c>
      <c r="R117" s="6">
        <f t="shared" si="37"/>
        <v>0</v>
      </c>
      <c r="S117" s="6">
        <f t="shared" si="47"/>
        <v>0</v>
      </c>
      <c r="U117">
        <v>103</v>
      </c>
      <c r="V117">
        <f t="shared" si="38"/>
        <v>103</v>
      </c>
      <c r="W117" s="200">
        <f t="shared" si="39"/>
        <v>8.5833333333333339</v>
      </c>
      <c r="X117" s="6">
        <f t="shared" si="48"/>
        <v>0</v>
      </c>
      <c r="Y117" s="6">
        <f t="shared" si="49"/>
        <v>0</v>
      </c>
      <c r="Z117" s="6">
        <f t="shared" si="53"/>
        <v>0</v>
      </c>
      <c r="AA117" s="6">
        <f t="shared" si="40"/>
        <v>0</v>
      </c>
      <c r="AB117" s="6">
        <f t="shared" si="41"/>
        <v>0</v>
      </c>
      <c r="AC117" s="6">
        <f t="shared" si="50"/>
        <v>0</v>
      </c>
    </row>
    <row r="118" spans="1:29" x14ac:dyDescent="0.25">
      <c r="A118">
        <v>104</v>
      </c>
      <c r="B118">
        <f t="shared" si="30"/>
        <v>104</v>
      </c>
      <c r="C118" s="200">
        <f t="shared" si="31"/>
        <v>8.6666666666666661</v>
      </c>
      <c r="D118" s="6">
        <f t="shared" si="42"/>
        <v>0</v>
      </c>
      <c r="E118" s="6">
        <f t="shared" si="43"/>
        <v>0</v>
      </c>
      <c r="F118" s="6">
        <f t="shared" si="51"/>
        <v>0</v>
      </c>
      <c r="G118" s="6">
        <f t="shared" si="32"/>
        <v>0</v>
      </c>
      <c r="H118" s="6">
        <f t="shared" si="33"/>
        <v>0</v>
      </c>
      <c r="I118" s="6">
        <f t="shared" si="44"/>
        <v>0</v>
      </c>
      <c r="K118">
        <v>104</v>
      </c>
      <c r="L118">
        <f t="shared" si="34"/>
        <v>104</v>
      </c>
      <c r="M118" s="200">
        <f t="shared" si="35"/>
        <v>8.6666666666666661</v>
      </c>
      <c r="N118" s="6">
        <f t="shared" si="45"/>
        <v>0</v>
      </c>
      <c r="O118" s="6">
        <f t="shared" si="46"/>
        <v>0</v>
      </c>
      <c r="P118" s="6">
        <f t="shared" si="52"/>
        <v>0</v>
      </c>
      <c r="Q118" s="6">
        <f t="shared" si="36"/>
        <v>0</v>
      </c>
      <c r="R118" s="6">
        <f t="shared" si="37"/>
        <v>0</v>
      </c>
      <c r="S118" s="6">
        <f t="shared" si="47"/>
        <v>0</v>
      </c>
      <c r="U118">
        <v>104</v>
      </c>
      <c r="V118">
        <f t="shared" si="38"/>
        <v>104</v>
      </c>
      <c r="W118" s="200">
        <f t="shared" si="39"/>
        <v>8.6666666666666661</v>
      </c>
      <c r="X118" s="6">
        <f t="shared" si="48"/>
        <v>0</v>
      </c>
      <c r="Y118" s="6">
        <f t="shared" si="49"/>
        <v>0</v>
      </c>
      <c r="Z118" s="6">
        <f t="shared" si="53"/>
        <v>0</v>
      </c>
      <c r="AA118" s="6">
        <f t="shared" si="40"/>
        <v>0</v>
      </c>
      <c r="AB118" s="6">
        <f t="shared" si="41"/>
        <v>0</v>
      </c>
      <c r="AC118" s="6">
        <f t="shared" si="50"/>
        <v>0</v>
      </c>
    </row>
    <row r="119" spans="1:29" x14ac:dyDescent="0.25">
      <c r="A119">
        <v>105</v>
      </c>
      <c r="B119">
        <f t="shared" si="30"/>
        <v>105</v>
      </c>
      <c r="C119" s="200">
        <f t="shared" si="31"/>
        <v>8.75</v>
      </c>
      <c r="D119" s="6">
        <f t="shared" si="42"/>
        <v>0</v>
      </c>
      <c r="E119" s="6">
        <f t="shared" si="43"/>
        <v>0</v>
      </c>
      <c r="F119" s="6">
        <f t="shared" si="51"/>
        <v>0</v>
      </c>
      <c r="G119" s="6">
        <f t="shared" si="32"/>
        <v>0</v>
      </c>
      <c r="H119" s="6">
        <f t="shared" si="33"/>
        <v>0</v>
      </c>
      <c r="I119" s="6">
        <f t="shared" si="44"/>
        <v>0</v>
      </c>
      <c r="K119">
        <v>105</v>
      </c>
      <c r="L119">
        <f t="shared" si="34"/>
        <v>105</v>
      </c>
      <c r="M119" s="200">
        <f t="shared" si="35"/>
        <v>8.75</v>
      </c>
      <c r="N119" s="6">
        <f t="shared" si="45"/>
        <v>0</v>
      </c>
      <c r="O119" s="6">
        <f t="shared" si="46"/>
        <v>0</v>
      </c>
      <c r="P119" s="6">
        <f t="shared" si="52"/>
        <v>0</v>
      </c>
      <c r="Q119" s="6">
        <f t="shared" si="36"/>
        <v>0</v>
      </c>
      <c r="R119" s="6">
        <f t="shared" si="37"/>
        <v>0</v>
      </c>
      <c r="S119" s="6">
        <f t="shared" si="47"/>
        <v>0</v>
      </c>
      <c r="U119">
        <v>105</v>
      </c>
      <c r="V119">
        <f t="shared" si="38"/>
        <v>105</v>
      </c>
      <c r="W119" s="200">
        <f t="shared" si="39"/>
        <v>8.75</v>
      </c>
      <c r="X119" s="6">
        <f t="shared" si="48"/>
        <v>0</v>
      </c>
      <c r="Y119" s="6">
        <f t="shared" si="49"/>
        <v>0</v>
      </c>
      <c r="Z119" s="6">
        <f t="shared" si="53"/>
        <v>0</v>
      </c>
      <c r="AA119" s="6">
        <f t="shared" si="40"/>
        <v>0</v>
      </c>
      <c r="AB119" s="6">
        <f t="shared" si="41"/>
        <v>0</v>
      </c>
      <c r="AC119" s="6">
        <f t="shared" si="50"/>
        <v>0</v>
      </c>
    </row>
    <row r="120" spans="1:29" x14ac:dyDescent="0.25">
      <c r="A120">
        <v>106</v>
      </c>
      <c r="B120">
        <f t="shared" si="30"/>
        <v>106</v>
      </c>
      <c r="C120" s="200">
        <f t="shared" si="31"/>
        <v>8.8333333333333339</v>
      </c>
      <c r="D120" s="6">
        <f t="shared" si="42"/>
        <v>0</v>
      </c>
      <c r="E120" s="6">
        <f t="shared" si="43"/>
        <v>0</v>
      </c>
      <c r="F120" s="6">
        <f t="shared" si="51"/>
        <v>0</v>
      </c>
      <c r="G120" s="6">
        <f t="shared" si="32"/>
        <v>0</v>
      </c>
      <c r="H120" s="6">
        <f t="shared" si="33"/>
        <v>0</v>
      </c>
      <c r="I120" s="6">
        <f t="shared" si="44"/>
        <v>0</v>
      </c>
      <c r="K120">
        <v>106</v>
      </c>
      <c r="L120">
        <f t="shared" si="34"/>
        <v>106</v>
      </c>
      <c r="M120" s="200">
        <f t="shared" si="35"/>
        <v>8.8333333333333339</v>
      </c>
      <c r="N120" s="6">
        <f t="shared" si="45"/>
        <v>0</v>
      </c>
      <c r="O120" s="6">
        <f t="shared" si="46"/>
        <v>0</v>
      </c>
      <c r="P120" s="6">
        <f t="shared" si="52"/>
        <v>0</v>
      </c>
      <c r="Q120" s="6">
        <f t="shared" si="36"/>
        <v>0</v>
      </c>
      <c r="R120" s="6">
        <f t="shared" si="37"/>
        <v>0</v>
      </c>
      <c r="S120" s="6">
        <f t="shared" si="47"/>
        <v>0</v>
      </c>
      <c r="U120">
        <v>106</v>
      </c>
      <c r="V120">
        <f t="shared" si="38"/>
        <v>106</v>
      </c>
      <c r="W120" s="200">
        <f t="shared" si="39"/>
        <v>8.8333333333333339</v>
      </c>
      <c r="X120" s="6">
        <f t="shared" si="48"/>
        <v>0</v>
      </c>
      <c r="Y120" s="6">
        <f t="shared" si="49"/>
        <v>0</v>
      </c>
      <c r="Z120" s="6">
        <f t="shared" si="53"/>
        <v>0</v>
      </c>
      <c r="AA120" s="6">
        <f t="shared" si="40"/>
        <v>0</v>
      </c>
      <c r="AB120" s="6">
        <f t="shared" si="41"/>
        <v>0</v>
      </c>
      <c r="AC120" s="6">
        <f t="shared" si="50"/>
        <v>0</v>
      </c>
    </row>
    <row r="121" spans="1:29" x14ac:dyDescent="0.25">
      <c r="A121">
        <v>107</v>
      </c>
      <c r="B121">
        <f t="shared" si="30"/>
        <v>107</v>
      </c>
      <c r="C121" s="200">
        <f t="shared" si="31"/>
        <v>8.9166666666666661</v>
      </c>
      <c r="D121" s="6">
        <f t="shared" si="42"/>
        <v>0</v>
      </c>
      <c r="E121" s="6">
        <f t="shared" si="43"/>
        <v>0</v>
      </c>
      <c r="F121" s="6">
        <f t="shared" si="51"/>
        <v>0</v>
      </c>
      <c r="G121" s="6">
        <f t="shared" si="32"/>
        <v>0</v>
      </c>
      <c r="H121" s="6">
        <f t="shared" si="33"/>
        <v>0</v>
      </c>
      <c r="I121" s="6">
        <f t="shared" si="44"/>
        <v>0</v>
      </c>
      <c r="K121">
        <v>107</v>
      </c>
      <c r="L121">
        <f t="shared" si="34"/>
        <v>107</v>
      </c>
      <c r="M121" s="200">
        <f t="shared" si="35"/>
        <v>8.9166666666666661</v>
      </c>
      <c r="N121" s="6">
        <f t="shared" si="45"/>
        <v>0</v>
      </c>
      <c r="O121" s="6">
        <f t="shared" si="46"/>
        <v>0</v>
      </c>
      <c r="P121" s="6">
        <f t="shared" si="52"/>
        <v>0</v>
      </c>
      <c r="Q121" s="6">
        <f t="shared" si="36"/>
        <v>0</v>
      </c>
      <c r="R121" s="6">
        <f t="shared" si="37"/>
        <v>0</v>
      </c>
      <c r="S121" s="6">
        <f t="shared" si="47"/>
        <v>0</v>
      </c>
      <c r="U121">
        <v>107</v>
      </c>
      <c r="V121">
        <f t="shared" si="38"/>
        <v>107</v>
      </c>
      <c r="W121" s="200">
        <f t="shared" si="39"/>
        <v>8.9166666666666661</v>
      </c>
      <c r="X121" s="6">
        <f t="shared" si="48"/>
        <v>0</v>
      </c>
      <c r="Y121" s="6">
        <f t="shared" si="49"/>
        <v>0</v>
      </c>
      <c r="Z121" s="6">
        <f t="shared" si="53"/>
        <v>0</v>
      </c>
      <c r="AA121" s="6">
        <f t="shared" si="40"/>
        <v>0</v>
      </c>
      <c r="AB121" s="6">
        <f t="shared" si="41"/>
        <v>0</v>
      </c>
      <c r="AC121" s="6">
        <f t="shared" si="50"/>
        <v>0</v>
      </c>
    </row>
    <row r="122" spans="1:29" x14ac:dyDescent="0.25">
      <c r="A122">
        <v>108</v>
      </c>
      <c r="B122">
        <f t="shared" si="30"/>
        <v>108</v>
      </c>
      <c r="C122" s="200">
        <f t="shared" si="31"/>
        <v>9</v>
      </c>
      <c r="D122" s="6">
        <f t="shared" si="42"/>
        <v>0</v>
      </c>
      <c r="E122" s="6">
        <f t="shared" si="43"/>
        <v>0</v>
      </c>
      <c r="F122" s="6">
        <f t="shared" si="51"/>
        <v>0</v>
      </c>
      <c r="G122" s="6">
        <f t="shared" si="32"/>
        <v>0</v>
      </c>
      <c r="H122" s="6">
        <f t="shared" si="33"/>
        <v>0</v>
      </c>
      <c r="I122" s="6">
        <f t="shared" si="44"/>
        <v>0</v>
      </c>
      <c r="K122">
        <v>108</v>
      </c>
      <c r="L122">
        <f t="shared" si="34"/>
        <v>108</v>
      </c>
      <c r="M122" s="200">
        <f t="shared" si="35"/>
        <v>9</v>
      </c>
      <c r="N122" s="6">
        <f t="shared" si="45"/>
        <v>0</v>
      </c>
      <c r="O122" s="6">
        <f t="shared" si="46"/>
        <v>0</v>
      </c>
      <c r="P122" s="6">
        <f t="shared" si="52"/>
        <v>0</v>
      </c>
      <c r="Q122" s="6">
        <f t="shared" si="36"/>
        <v>0</v>
      </c>
      <c r="R122" s="6">
        <f t="shared" si="37"/>
        <v>0</v>
      </c>
      <c r="S122" s="6">
        <f t="shared" si="47"/>
        <v>0</v>
      </c>
      <c r="U122">
        <v>108</v>
      </c>
      <c r="V122">
        <f t="shared" si="38"/>
        <v>108</v>
      </c>
      <c r="W122" s="200">
        <f t="shared" si="39"/>
        <v>9</v>
      </c>
      <c r="X122" s="6">
        <f t="shared" si="48"/>
        <v>0</v>
      </c>
      <c r="Y122" s="6">
        <f t="shared" si="49"/>
        <v>0</v>
      </c>
      <c r="Z122" s="6">
        <f t="shared" si="53"/>
        <v>0</v>
      </c>
      <c r="AA122" s="6">
        <f t="shared" si="40"/>
        <v>0</v>
      </c>
      <c r="AB122" s="6">
        <f t="shared" si="41"/>
        <v>0</v>
      </c>
      <c r="AC122" s="6">
        <f t="shared" si="50"/>
        <v>0</v>
      </c>
    </row>
    <row r="123" spans="1:29" x14ac:dyDescent="0.25">
      <c r="A123">
        <v>109</v>
      </c>
      <c r="B123">
        <f t="shared" si="30"/>
        <v>109</v>
      </c>
      <c r="C123" s="200">
        <f t="shared" si="31"/>
        <v>9.0833333333333339</v>
      </c>
      <c r="D123" s="6">
        <f t="shared" si="42"/>
        <v>0</v>
      </c>
      <c r="E123" s="6">
        <f t="shared" si="43"/>
        <v>0</v>
      </c>
      <c r="F123" s="6">
        <f t="shared" si="51"/>
        <v>0</v>
      </c>
      <c r="G123" s="6">
        <f t="shared" si="32"/>
        <v>0</v>
      </c>
      <c r="H123" s="6">
        <f t="shared" si="33"/>
        <v>0</v>
      </c>
      <c r="I123" s="6">
        <f t="shared" si="44"/>
        <v>0</v>
      </c>
      <c r="K123">
        <v>109</v>
      </c>
      <c r="L123">
        <f t="shared" si="34"/>
        <v>109</v>
      </c>
      <c r="M123" s="200">
        <f t="shared" si="35"/>
        <v>9.0833333333333339</v>
      </c>
      <c r="N123" s="6">
        <f t="shared" si="45"/>
        <v>0</v>
      </c>
      <c r="O123" s="6">
        <f t="shared" si="46"/>
        <v>0</v>
      </c>
      <c r="P123" s="6">
        <f t="shared" si="52"/>
        <v>0</v>
      </c>
      <c r="Q123" s="6">
        <f t="shared" si="36"/>
        <v>0</v>
      </c>
      <c r="R123" s="6">
        <f t="shared" si="37"/>
        <v>0</v>
      </c>
      <c r="S123" s="6">
        <f t="shared" si="47"/>
        <v>0</v>
      </c>
      <c r="U123">
        <v>109</v>
      </c>
      <c r="V123">
        <f t="shared" si="38"/>
        <v>109</v>
      </c>
      <c r="W123" s="200">
        <f t="shared" si="39"/>
        <v>9.0833333333333339</v>
      </c>
      <c r="X123" s="6">
        <f t="shared" si="48"/>
        <v>0</v>
      </c>
      <c r="Y123" s="6">
        <f t="shared" si="49"/>
        <v>0</v>
      </c>
      <c r="Z123" s="6">
        <f t="shared" si="53"/>
        <v>0</v>
      </c>
      <c r="AA123" s="6">
        <f t="shared" si="40"/>
        <v>0</v>
      </c>
      <c r="AB123" s="6">
        <f t="shared" si="41"/>
        <v>0</v>
      </c>
      <c r="AC123" s="6">
        <f t="shared" si="50"/>
        <v>0</v>
      </c>
    </row>
    <row r="124" spans="1:29" x14ac:dyDescent="0.25">
      <c r="A124">
        <v>110</v>
      </c>
      <c r="B124">
        <f t="shared" si="30"/>
        <v>110</v>
      </c>
      <c r="C124" s="200">
        <f t="shared" si="31"/>
        <v>9.1666666666666661</v>
      </c>
      <c r="D124" s="6">
        <f t="shared" si="42"/>
        <v>0</v>
      </c>
      <c r="E124" s="6">
        <f t="shared" si="43"/>
        <v>0</v>
      </c>
      <c r="F124" s="6">
        <f t="shared" si="51"/>
        <v>0</v>
      </c>
      <c r="G124" s="6">
        <f t="shared" si="32"/>
        <v>0</v>
      </c>
      <c r="H124" s="6">
        <f t="shared" si="33"/>
        <v>0</v>
      </c>
      <c r="I124" s="6">
        <f t="shared" si="44"/>
        <v>0</v>
      </c>
      <c r="K124">
        <v>110</v>
      </c>
      <c r="L124">
        <f t="shared" si="34"/>
        <v>110</v>
      </c>
      <c r="M124" s="200">
        <f t="shared" si="35"/>
        <v>9.1666666666666661</v>
      </c>
      <c r="N124" s="6">
        <f t="shared" si="45"/>
        <v>0</v>
      </c>
      <c r="O124" s="6">
        <f t="shared" si="46"/>
        <v>0</v>
      </c>
      <c r="P124" s="6">
        <f t="shared" si="52"/>
        <v>0</v>
      </c>
      <c r="Q124" s="6">
        <f t="shared" si="36"/>
        <v>0</v>
      </c>
      <c r="R124" s="6">
        <f t="shared" si="37"/>
        <v>0</v>
      </c>
      <c r="S124" s="6">
        <f t="shared" si="47"/>
        <v>0</v>
      </c>
      <c r="U124">
        <v>110</v>
      </c>
      <c r="V124">
        <f t="shared" si="38"/>
        <v>110</v>
      </c>
      <c r="W124" s="200">
        <f t="shared" si="39"/>
        <v>9.1666666666666661</v>
      </c>
      <c r="X124" s="6">
        <f t="shared" si="48"/>
        <v>0</v>
      </c>
      <c r="Y124" s="6">
        <f t="shared" si="49"/>
        <v>0</v>
      </c>
      <c r="Z124" s="6">
        <f t="shared" si="53"/>
        <v>0</v>
      </c>
      <c r="AA124" s="6">
        <f t="shared" si="40"/>
        <v>0</v>
      </c>
      <c r="AB124" s="6">
        <f t="shared" si="41"/>
        <v>0</v>
      </c>
      <c r="AC124" s="6">
        <f t="shared" si="50"/>
        <v>0</v>
      </c>
    </row>
    <row r="125" spans="1:29" x14ac:dyDescent="0.25">
      <c r="A125">
        <v>111</v>
      </c>
      <c r="B125">
        <f t="shared" si="30"/>
        <v>111</v>
      </c>
      <c r="C125" s="200">
        <f t="shared" si="31"/>
        <v>9.25</v>
      </c>
      <c r="D125" s="6">
        <f t="shared" si="42"/>
        <v>0</v>
      </c>
      <c r="E125" s="6">
        <f t="shared" si="43"/>
        <v>0</v>
      </c>
      <c r="F125" s="6">
        <f t="shared" si="51"/>
        <v>0</v>
      </c>
      <c r="G125" s="6">
        <f t="shared" si="32"/>
        <v>0</v>
      </c>
      <c r="H125" s="6">
        <f t="shared" si="33"/>
        <v>0</v>
      </c>
      <c r="I125" s="6">
        <f t="shared" si="44"/>
        <v>0</v>
      </c>
      <c r="K125">
        <v>111</v>
      </c>
      <c r="L125">
        <f t="shared" si="34"/>
        <v>111</v>
      </c>
      <c r="M125" s="200">
        <f t="shared" si="35"/>
        <v>9.25</v>
      </c>
      <c r="N125" s="6">
        <f t="shared" si="45"/>
        <v>0</v>
      </c>
      <c r="O125" s="6">
        <f t="shared" si="46"/>
        <v>0</v>
      </c>
      <c r="P125" s="6">
        <f t="shared" si="52"/>
        <v>0</v>
      </c>
      <c r="Q125" s="6">
        <f t="shared" si="36"/>
        <v>0</v>
      </c>
      <c r="R125" s="6">
        <f t="shared" si="37"/>
        <v>0</v>
      </c>
      <c r="S125" s="6">
        <f t="shared" si="47"/>
        <v>0</v>
      </c>
      <c r="U125">
        <v>111</v>
      </c>
      <c r="V125">
        <f t="shared" si="38"/>
        <v>111</v>
      </c>
      <c r="W125" s="200">
        <f t="shared" si="39"/>
        <v>9.25</v>
      </c>
      <c r="X125" s="6">
        <f t="shared" si="48"/>
        <v>0</v>
      </c>
      <c r="Y125" s="6">
        <f t="shared" si="49"/>
        <v>0</v>
      </c>
      <c r="Z125" s="6">
        <f t="shared" si="53"/>
        <v>0</v>
      </c>
      <c r="AA125" s="6">
        <f t="shared" si="40"/>
        <v>0</v>
      </c>
      <c r="AB125" s="6">
        <f t="shared" si="41"/>
        <v>0</v>
      </c>
      <c r="AC125" s="6">
        <f t="shared" si="50"/>
        <v>0</v>
      </c>
    </row>
    <row r="126" spans="1:29" x14ac:dyDescent="0.25">
      <c r="A126">
        <v>112</v>
      </c>
      <c r="B126">
        <f t="shared" si="30"/>
        <v>112</v>
      </c>
      <c r="C126" s="200">
        <f t="shared" si="31"/>
        <v>9.3333333333333339</v>
      </c>
      <c r="D126" s="6">
        <f t="shared" si="42"/>
        <v>0</v>
      </c>
      <c r="E126" s="6">
        <f t="shared" si="43"/>
        <v>0</v>
      </c>
      <c r="F126" s="6">
        <f t="shared" si="51"/>
        <v>0</v>
      </c>
      <c r="G126" s="6">
        <f t="shared" si="32"/>
        <v>0</v>
      </c>
      <c r="H126" s="6">
        <f t="shared" si="33"/>
        <v>0</v>
      </c>
      <c r="I126" s="6">
        <f t="shared" si="44"/>
        <v>0</v>
      </c>
      <c r="K126">
        <v>112</v>
      </c>
      <c r="L126">
        <f t="shared" si="34"/>
        <v>112</v>
      </c>
      <c r="M126" s="200">
        <f t="shared" si="35"/>
        <v>9.3333333333333339</v>
      </c>
      <c r="N126" s="6">
        <f t="shared" si="45"/>
        <v>0</v>
      </c>
      <c r="O126" s="6">
        <f t="shared" si="46"/>
        <v>0</v>
      </c>
      <c r="P126" s="6">
        <f t="shared" si="52"/>
        <v>0</v>
      </c>
      <c r="Q126" s="6">
        <f t="shared" si="36"/>
        <v>0</v>
      </c>
      <c r="R126" s="6">
        <f t="shared" si="37"/>
        <v>0</v>
      </c>
      <c r="S126" s="6">
        <f t="shared" si="47"/>
        <v>0</v>
      </c>
      <c r="U126">
        <v>112</v>
      </c>
      <c r="V126">
        <f t="shared" si="38"/>
        <v>112</v>
      </c>
      <c r="W126" s="200">
        <f t="shared" si="39"/>
        <v>9.3333333333333339</v>
      </c>
      <c r="X126" s="6">
        <f t="shared" si="48"/>
        <v>0</v>
      </c>
      <c r="Y126" s="6">
        <f t="shared" si="49"/>
        <v>0</v>
      </c>
      <c r="Z126" s="6">
        <f t="shared" si="53"/>
        <v>0</v>
      </c>
      <c r="AA126" s="6">
        <f t="shared" si="40"/>
        <v>0</v>
      </c>
      <c r="AB126" s="6">
        <f t="shared" si="41"/>
        <v>0</v>
      </c>
      <c r="AC126" s="6">
        <f t="shared" si="50"/>
        <v>0</v>
      </c>
    </row>
    <row r="127" spans="1:29" x14ac:dyDescent="0.25">
      <c r="A127">
        <v>113</v>
      </c>
      <c r="B127">
        <f t="shared" si="30"/>
        <v>113</v>
      </c>
      <c r="C127" s="200">
        <f t="shared" si="31"/>
        <v>9.4166666666666661</v>
      </c>
      <c r="D127" s="6">
        <f t="shared" si="42"/>
        <v>0</v>
      </c>
      <c r="E127" s="6">
        <f t="shared" si="43"/>
        <v>0</v>
      </c>
      <c r="F127" s="6">
        <f t="shared" si="51"/>
        <v>0</v>
      </c>
      <c r="G127" s="6">
        <f t="shared" si="32"/>
        <v>0</v>
      </c>
      <c r="H127" s="6">
        <f t="shared" si="33"/>
        <v>0</v>
      </c>
      <c r="I127" s="6">
        <f t="shared" si="44"/>
        <v>0</v>
      </c>
      <c r="K127">
        <v>113</v>
      </c>
      <c r="L127">
        <f t="shared" si="34"/>
        <v>113</v>
      </c>
      <c r="M127" s="200">
        <f t="shared" si="35"/>
        <v>9.4166666666666661</v>
      </c>
      <c r="N127" s="6">
        <f t="shared" si="45"/>
        <v>0</v>
      </c>
      <c r="O127" s="6">
        <f t="shared" si="46"/>
        <v>0</v>
      </c>
      <c r="P127" s="6">
        <f t="shared" si="52"/>
        <v>0</v>
      </c>
      <c r="Q127" s="6">
        <f t="shared" si="36"/>
        <v>0</v>
      </c>
      <c r="R127" s="6">
        <f t="shared" si="37"/>
        <v>0</v>
      </c>
      <c r="S127" s="6">
        <f t="shared" si="47"/>
        <v>0</v>
      </c>
      <c r="U127">
        <v>113</v>
      </c>
      <c r="V127">
        <f t="shared" si="38"/>
        <v>113</v>
      </c>
      <c r="W127" s="200">
        <f t="shared" si="39"/>
        <v>9.4166666666666661</v>
      </c>
      <c r="X127" s="6">
        <f t="shared" si="48"/>
        <v>0</v>
      </c>
      <c r="Y127" s="6">
        <f t="shared" si="49"/>
        <v>0</v>
      </c>
      <c r="Z127" s="6">
        <f t="shared" si="53"/>
        <v>0</v>
      </c>
      <c r="AA127" s="6">
        <f t="shared" si="40"/>
        <v>0</v>
      </c>
      <c r="AB127" s="6">
        <f t="shared" si="41"/>
        <v>0</v>
      </c>
      <c r="AC127" s="6">
        <f t="shared" si="50"/>
        <v>0</v>
      </c>
    </row>
    <row r="128" spans="1:29" x14ac:dyDescent="0.25">
      <c r="A128">
        <v>114</v>
      </c>
      <c r="B128">
        <f t="shared" si="30"/>
        <v>114</v>
      </c>
      <c r="C128" s="200">
        <f t="shared" si="31"/>
        <v>9.5</v>
      </c>
      <c r="D128" s="6">
        <f t="shared" si="42"/>
        <v>0</v>
      </c>
      <c r="E128" s="6">
        <f t="shared" si="43"/>
        <v>0</v>
      </c>
      <c r="F128" s="6">
        <f t="shared" si="51"/>
        <v>0</v>
      </c>
      <c r="G128" s="6">
        <f t="shared" si="32"/>
        <v>0</v>
      </c>
      <c r="H128" s="6">
        <f t="shared" si="33"/>
        <v>0</v>
      </c>
      <c r="I128" s="6">
        <f t="shared" si="44"/>
        <v>0</v>
      </c>
      <c r="K128">
        <v>114</v>
      </c>
      <c r="L128">
        <f t="shared" si="34"/>
        <v>114</v>
      </c>
      <c r="M128" s="200">
        <f t="shared" si="35"/>
        <v>9.5</v>
      </c>
      <c r="N128" s="6">
        <f t="shared" si="45"/>
        <v>0</v>
      </c>
      <c r="O128" s="6">
        <f t="shared" si="46"/>
        <v>0</v>
      </c>
      <c r="P128" s="6">
        <f t="shared" si="52"/>
        <v>0</v>
      </c>
      <c r="Q128" s="6">
        <f t="shared" si="36"/>
        <v>0</v>
      </c>
      <c r="R128" s="6">
        <f t="shared" si="37"/>
        <v>0</v>
      </c>
      <c r="S128" s="6">
        <f t="shared" si="47"/>
        <v>0</v>
      </c>
      <c r="U128">
        <v>114</v>
      </c>
      <c r="V128">
        <f t="shared" si="38"/>
        <v>114</v>
      </c>
      <c r="W128" s="200">
        <f t="shared" si="39"/>
        <v>9.5</v>
      </c>
      <c r="X128" s="6">
        <f t="shared" si="48"/>
        <v>0</v>
      </c>
      <c r="Y128" s="6">
        <f t="shared" si="49"/>
        <v>0</v>
      </c>
      <c r="Z128" s="6">
        <f t="shared" si="53"/>
        <v>0</v>
      </c>
      <c r="AA128" s="6">
        <f t="shared" si="40"/>
        <v>0</v>
      </c>
      <c r="AB128" s="6">
        <f t="shared" si="41"/>
        <v>0</v>
      </c>
      <c r="AC128" s="6">
        <f t="shared" si="50"/>
        <v>0</v>
      </c>
    </row>
    <row r="129" spans="1:29" x14ac:dyDescent="0.25">
      <c r="A129">
        <v>115</v>
      </c>
      <c r="B129">
        <f t="shared" si="30"/>
        <v>115</v>
      </c>
      <c r="C129" s="200">
        <f t="shared" si="31"/>
        <v>9.5833333333333339</v>
      </c>
      <c r="D129" s="6">
        <f t="shared" si="42"/>
        <v>0</v>
      </c>
      <c r="E129" s="6">
        <f t="shared" si="43"/>
        <v>0</v>
      </c>
      <c r="F129" s="6">
        <f t="shared" si="51"/>
        <v>0</v>
      </c>
      <c r="G129" s="6">
        <f t="shared" si="32"/>
        <v>0</v>
      </c>
      <c r="H129" s="6">
        <f t="shared" si="33"/>
        <v>0</v>
      </c>
      <c r="I129" s="6">
        <f t="shared" si="44"/>
        <v>0</v>
      </c>
      <c r="K129">
        <v>115</v>
      </c>
      <c r="L129">
        <f t="shared" si="34"/>
        <v>115</v>
      </c>
      <c r="M129" s="200">
        <f t="shared" si="35"/>
        <v>9.5833333333333339</v>
      </c>
      <c r="N129" s="6">
        <f t="shared" si="45"/>
        <v>0</v>
      </c>
      <c r="O129" s="6">
        <f t="shared" si="46"/>
        <v>0</v>
      </c>
      <c r="P129" s="6">
        <f t="shared" si="52"/>
        <v>0</v>
      </c>
      <c r="Q129" s="6">
        <f t="shared" si="36"/>
        <v>0</v>
      </c>
      <c r="R129" s="6">
        <f t="shared" si="37"/>
        <v>0</v>
      </c>
      <c r="S129" s="6">
        <f t="shared" si="47"/>
        <v>0</v>
      </c>
      <c r="U129">
        <v>115</v>
      </c>
      <c r="V129">
        <f t="shared" si="38"/>
        <v>115</v>
      </c>
      <c r="W129" s="200">
        <f t="shared" si="39"/>
        <v>9.5833333333333339</v>
      </c>
      <c r="X129" s="6">
        <f t="shared" si="48"/>
        <v>0</v>
      </c>
      <c r="Y129" s="6">
        <f t="shared" si="49"/>
        <v>0</v>
      </c>
      <c r="Z129" s="6">
        <f t="shared" si="53"/>
        <v>0</v>
      </c>
      <c r="AA129" s="6">
        <f t="shared" si="40"/>
        <v>0</v>
      </c>
      <c r="AB129" s="6">
        <f t="shared" si="41"/>
        <v>0</v>
      </c>
      <c r="AC129" s="6">
        <f t="shared" si="50"/>
        <v>0</v>
      </c>
    </row>
    <row r="130" spans="1:29" x14ac:dyDescent="0.25">
      <c r="A130">
        <v>116</v>
      </c>
      <c r="B130">
        <f t="shared" si="30"/>
        <v>116</v>
      </c>
      <c r="C130" s="200">
        <f t="shared" si="31"/>
        <v>9.6666666666666661</v>
      </c>
      <c r="D130" s="6">
        <f t="shared" si="42"/>
        <v>0</v>
      </c>
      <c r="E130" s="6">
        <f t="shared" si="43"/>
        <v>0</v>
      </c>
      <c r="F130" s="6">
        <f t="shared" si="51"/>
        <v>0</v>
      </c>
      <c r="G130" s="6">
        <f t="shared" si="32"/>
        <v>0</v>
      </c>
      <c r="H130" s="6">
        <f t="shared" si="33"/>
        <v>0</v>
      </c>
      <c r="I130" s="6">
        <f t="shared" si="44"/>
        <v>0</v>
      </c>
      <c r="K130">
        <v>116</v>
      </c>
      <c r="L130">
        <f t="shared" si="34"/>
        <v>116</v>
      </c>
      <c r="M130" s="200">
        <f t="shared" si="35"/>
        <v>9.6666666666666661</v>
      </c>
      <c r="N130" s="6">
        <f t="shared" si="45"/>
        <v>0</v>
      </c>
      <c r="O130" s="6">
        <f t="shared" si="46"/>
        <v>0</v>
      </c>
      <c r="P130" s="6">
        <f t="shared" si="52"/>
        <v>0</v>
      </c>
      <c r="Q130" s="6">
        <f t="shared" si="36"/>
        <v>0</v>
      </c>
      <c r="R130" s="6">
        <f t="shared" si="37"/>
        <v>0</v>
      </c>
      <c r="S130" s="6">
        <f t="shared" si="47"/>
        <v>0</v>
      </c>
      <c r="U130">
        <v>116</v>
      </c>
      <c r="V130">
        <f t="shared" si="38"/>
        <v>116</v>
      </c>
      <c r="W130" s="200">
        <f t="shared" si="39"/>
        <v>9.6666666666666661</v>
      </c>
      <c r="X130" s="6">
        <f t="shared" si="48"/>
        <v>0</v>
      </c>
      <c r="Y130" s="6">
        <f t="shared" si="49"/>
        <v>0</v>
      </c>
      <c r="Z130" s="6">
        <f t="shared" si="53"/>
        <v>0</v>
      </c>
      <c r="AA130" s="6">
        <f t="shared" si="40"/>
        <v>0</v>
      </c>
      <c r="AB130" s="6">
        <f t="shared" si="41"/>
        <v>0</v>
      </c>
      <c r="AC130" s="6">
        <f t="shared" si="50"/>
        <v>0</v>
      </c>
    </row>
    <row r="131" spans="1:29" x14ac:dyDescent="0.25">
      <c r="A131">
        <v>117</v>
      </c>
      <c r="B131">
        <f t="shared" si="30"/>
        <v>117</v>
      </c>
      <c r="C131" s="200">
        <f t="shared" si="31"/>
        <v>9.75</v>
      </c>
      <c r="D131" s="6">
        <f t="shared" si="42"/>
        <v>0</v>
      </c>
      <c r="E131" s="6">
        <f t="shared" si="43"/>
        <v>0</v>
      </c>
      <c r="F131" s="6">
        <f t="shared" si="51"/>
        <v>0</v>
      </c>
      <c r="G131" s="6">
        <f t="shared" si="32"/>
        <v>0</v>
      </c>
      <c r="H131" s="6">
        <f t="shared" si="33"/>
        <v>0</v>
      </c>
      <c r="I131" s="6">
        <f t="shared" si="44"/>
        <v>0</v>
      </c>
      <c r="K131">
        <v>117</v>
      </c>
      <c r="L131">
        <f t="shared" si="34"/>
        <v>117</v>
      </c>
      <c r="M131" s="200">
        <f t="shared" si="35"/>
        <v>9.75</v>
      </c>
      <c r="N131" s="6">
        <f t="shared" si="45"/>
        <v>0</v>
      </c>
      <c r="O131" s="6">
        <f t="shared" si="46"/>
        <v>0</v>
      </c>
      <c r="P131" s="6">
        <f t="shared" si="52"/>
        <v>0</v>
      </c>
      <c r="Q131" s="6">
        <f t="shared" si="36"/>
        <v>0</v>
      </c>
      <c r="R131" s="6">
        <f t="shared" si="37"/>
        <v>0</v>
      </c>
      <c r="S131" s="6">
        <f t="shared" si="47"/>
        <v>0</v>
      </c>
      <c r="U131">
        <v>117</v>
      </c>
      <c r="V131">
        <f t="shared" si="38"/>
        <v>117</v>
      </c>
      <c r="W131" s="200">
        <f t="shared" si="39"/>
        <v>9.75</v>
      </c>
      <c r="X131" s="6">
        <f t="shared" si="48"/>
        <v>0</v>
      </c>
      <c r="Y131" s="6">
        <f t="shared" si="49"/>
        <v>0</v>
      </c>
      <c r="Z131" s="6">
        <f t="shared" si="53"/>
        <v>0</v>
      </c>
      <c r="AA131" s="6">
        <f t="shared" si="40"/>
        <v>0</v>
      </c>
      <c r="AB131" s="6">
        <f t="shared" si="41"/>
        <v>0</v>
      </c>
      <c r="AC131" s="6">
        <f t="shared" si="50"/>
        <v>0</v>
      </c>
    </row>
    <row r="132" spans="1:29" x14ac:dyDescent="0.25">
      <c r="A132">
        <v>118</v>
      </c>
      <c r="B132">
        <f t="shared" si="30"/>
        <v>118</v>
      </c>
      <c r="C132" s="200">
        <f t="shared" si="31"/>
        <v>9.8333333333333339</v>
      </c>
      <c r="D132" s="6">
        <f t="shared" si="42"/>
        <v>0</v>
      </c>
      <c r="E132" s="6">
        <f t="shared" si="43"/>
        <v>0</v>
      </c>
      <c r="F132" s="6">
        <f t="shared" si="51"/>
        <v>0</v>
      </c>
      <c r="G132" s="6">
        <f t="shared" si="32"/>
        <v>0</v>
      </c>
      <c r="H132" s="6">
        <f t="shared" si="33"/>
        <v>0</v>
      </c>
      <c r="I132" s="6">
        <f t="shared" si="44"/>
        <v>0</v>
      </c>
      <c r="K132">
        <v>118</v>
      </c>
      <c r="L132">
        <f t="shared" si="34"/>
        <v>118</v>
      </c>
      <c r="M132" s="200">
        <f t="shared" si="35"/>
        <v>9.8333333333333339</v>
      </c>
      <c r="N132" s="6">
        <f t="shared" si="45"/>
        <v>0</v>
      </c>
      <c r="O132" s="6">
        <f t="shared" si="46"/>
        <v>0</v>
      </c>
      <c r="P132" s="6">
        <f t="shared" si="52"/>
        <v>0</v>
      </c>
      <c r="Q132" s="6">
        <f t="shared" si="36"/>
        <v>0</v>
      </c>
      <c r="R132" s="6">
        <f t="shared" si="37"/>
        <v>0</v>
      </c>
      <c r="S132" s="6">
        <f t="shared" si="47"/>
        <v>0</v>
      </c>
      <c r="U132">
        <v>118</v>
      </c>
      <c r="V132">
        <f t="shared" si="38"/>
        <v>118</v>
      </c>
      <c r="W132" s="200">
        <f t="shared" si="39"/>
        <v>9.8333333333333339</v>
      </c>
      <c r="X132" s="6">
        <f t="shared" si="48"/>
        <v>0</v>
      </c>
      <c r="Y132" s="6">
        <f t="shared" si="49"/>
        <v>0</v>
      </c>
      <c r="Z132" s="6">
        <f t="shared" si="53"/>
        <v>0</v>
      </c>
      <c r="AA132" s="6">
        <f t="shared" si="40"/>
        <v>0</v>
      </c>
      <c r="AB132" s="6">
        <f t="shared" si="41"/>
        <v>0</v>
      </c>
      <c r="AC132" s="6">
        <f t="shared" si="50"/>
        <v>0</v>
      </c>
    </row>
    <row r="133" spans="1:29" x14ac:dyDescent="0.25">
      <c r="A133">
        <v>119</v>
      </c>
      <c r="B133">
        <f t="shared" si="30"/>
        <v>119</v>
      </c>
      <c r="C133" s="200">
        <f t="shared" si="31"/>
        <v>9.9166666666666661</v>
      </c>
      <c r="D133" s="6">
        <f t="shared" si="42"/>
        <v>0</v>
      </c>
      <c r="E133" s="6">
        <f t="shared" si="43"/>
        <v>0</v>
      </c>
      <c r="F133" s="6">
        <f t="shared" si="51"/>
        <v>0</v>
      </c>
      <c r="G133" s="6">
        <f t="shared" si="32"/>
        <v>0</v>
      </c>
      <c r="H133" s="6">
        <f t="shared" si="33"/>
        <v>0</v>
      </c>
      <c r="I133" s="6">
        <f t="shared" si="44"/>
        <v>0</v>
      </c>
      <c r="K133">
        <v>119</v>
      </c>
      <c r="L133">
        <f t="shared" si="34"/>
        <v>119</v>
      </c>
      <c r="M133" s="200">
        <f t="shared" si="35"/>
        <v>9.9166666666666661</v>
      </c>
      <c r="N133" s="6">
        <f t="shared" si="45"/>
        <v>0</v>
      </c>
      <c r="O133" s="6">
        <f t="shared" si="46"/>
        <v>0</v>
      </c>
      <c r="P133" s="6">
        <f t="shared" si="52"/>
        <v>0</v>
      </c>
      <c r="Q133" s="6">
        <f t="shared" si="36"/>
        <v>0</v>
      </c>
      <c r="R133" s="6">
        <f t="shared" si="37"/>
        <v>0</v>
      </c>
      <c r="S133" s="6">
        <f t="shared" si="47"/>
        <v>0</v>
      </c>
      <c r="U133">
        <v>119</v>
      </c>
      <c r="V133">
        <f t="shared" si="38"/>
        <v>119</v>
      </c>
      <c r="W133" s="200">
        <f t="shared" si="39"/>
        <v>9.9166666666666661</v>
      </c>
      <c r="X133" s="6">
        <f t="shared" si="48"/>
        <v>0</v>
      </c>
      <c r="Y133" s="6">
        <f t="shared" si="49"/>
        <v>0</v>
      </c>
      <c r="Z133" s="6">
        <f t="shared" si="53"/>
        <v>0</v>
      </c>
      <c r="AA133" s="6">
        <f t="shared" si="40"/>
        <v>0</v>
      </c>
      <c r="AB133" s="6">
        <f t="shared" si="41"/>
        <v>0</v>
      </c>
      <c r="AC133" s="6">
        <f t="shared" si="50"/>
        <v>0</v>
      </c>
    </row>
    <row r="134" spans="1:29" x14ac:dyDescent="0.25">
      <c r="A134">
        <v>120</v>
      </c>
      <c r="B134">
        <f t="shared" si="30"/>
        <v>120</v>
      </c>
      <c r="C134" s="200">
        <f t="shared" si="31"/>
        <v>10</v>
      </c>
      <c r="D134" s="6">
        <f t="shared" si="42"/>
        <v>0</v>
      </c>
      <c r="E134" s="6">
        <f t="shared" si="43"/>
        <v>0</v>
      </c>
      <c r="F134" s="6">
        <f t="shared" si="51"/>
        <v>0</v>
      </c>
      <c r="G134" s="6">
        <f t="shared" si="32"/>
        <v>0</v>
      </c>
      <c r="H134" s="6">
        <f t="shared" si="33"/>
        <v>0</v>
      </c>
      <c r="I134" s="6">
        <f t="shared" si="44"/>
        <v>0</v>
      </c>
      <c r="K134">
        <v>120</v>
      </c>
      <c r="L134">
        <f t="shared" si="34"/>
        <v>120</v>
      </c>
      <c r="M134" s="200">
        <f t="shared" si="35"/>
        <v>10</v>
      </c>
      <c r="N134" s="6">
        <f t="shared" si="45"/>
        <v>0</v>
      </c>
      <c r="O134" s="6">
        <f t="shared" si="46"/>
        <v>0</v>
      </c>
      <c r="P134" s="6">
        <f t="shared" si="52"/>
        <v>0</v>
      </c>
      <c r="Q134" s="6">
        <f t="shared" si="36"/>
        <v>0</v>
      </c>
      <c r="R134" s="6">
        <f t="shared" si="37"/>
        <v>0</v>
      </c>
      <c r="S134" s="6">
        <f t="shared" si="47"/>
        <v>0</v>
      </c>
      <c r="U134">
        <v>120</v>
      </c>
      <c r="V134">
        <f t="shared" si="38"/>
        <v>120</v>
      </c>
      <c r="W134" s="200">
        <f t="shared" si="39"/>
        <v>10</v>
      </c>
      <c r="X134" s="6">
        <f t="shared" si="48"/>
        <v>0</v>
      </c>
      <c r="Y134" s="6">
        <f t="shared" si="49"/>
        <v>0</v>
      </c>
      <c r="Z134" s="6">
        <f t="shared" si="53"/>
        <v>0</v>
      </c>
      <c r="AA134" s="6">
        <f t="shared" si="40"/>
        <v>0</v>
      </c>
      <c r="AB134" s="6">
        <f t="shared" si="41"/>
        <v>0</v>
      </c>
      <c r="AC134" s="6">
        <f t="shared" si="50"/>
        <v>0</v>
      </c>
    </row>
    <row r="135" spans="1:29" x14ac:dyDescent="0.25">
      <c r="A135">
        <v>121</v>
      </c>
      <c r="B135">
        <f t="shared" si="30"/>
        <v>121</v>
      </c>
      <c r="C135" s="200">
        <f t="shared" si="31"/>
        <v>10.083333333333334</v>
      </c>
      <c r="D135" s="6">
        <f t="shared" si="42"/>
        <v>0</v>
      </c>
      <c r="E135" s="6">
        <f t="shared" si="43"/>
        <v>0</v>
      </c>
      <c r="F135" s="6">
        <f t="shared" si="51"/>
        <v>0</v>
      </c>
      <c r="G135" s="6">
        <f t="shared" si="32"/>
        <v>0</v>
      </c>
      <c r="H135" s="6">
        <f t="shared" si="33"/>
        <v>0</v>
      </c>
      <c r="I135" s="6">
        <f t="shared" si="44"/>
        <v>0</v>
      </c>
      <c r="K135">
        <v>121</v>
      </c>
      <c r="L135">
        <f t="shared" si="34"/>
        <v>121</v>
      </c>
      <c r="M135" s="200">
        <f t="shared" si="35"/>
        <v>10.083333333333334</v>
      </c>
      <c r="N135" s="6">
        <f t="shared" si="45"/>
        <v>0</v>
      </c>
      <c r="O135" s="6">
        <f t="shared" si="46"/>
        <v>0</v>
      </c>
      <c r="P135" s="6">
        <f t="shared" si="52"/>
        <v>0</v>
      </c>
      <c r="Q135" s="6">
        <f t="shared" si="36"/>
        <v>0</v>
      </c>
      <c r="R135" s="6">
        <f t="shared" si="37"/>
        <v>0</v>
      </c>
      <c r="S135" s="6">
        <f t="shared" si="47"/>
        <v>0</v>
      </c>
      <c r="U135">
        <v>121</v>
      </c>
      <c r="V135">
        <f t="shared" si="38"/>
        <v>121</v>
      </c>
      <c r="W135" s="200">
        <f t="shared" si="39"/>
        <v>10.083333333333334</v>
      </c>
      <c r="X135" s="6">
        <f t="shared" si="48"/>
        <v>0</v>
      </c>
      <c r="Y135" s="6">
        <f t="shared" si="49"/>
        <v>0</v>
      </c>
      <c r="Z135" s="6">
        <f t="shared" si="53"/>
        <v>0</v>
      </c>
      <c r="AA135" s="6">
        <f t="shared" si="40"/>
        <v>0</v>
      </c>
      <c r="AB135" s="6">
        <f t="shared" si="41"/>
        <v>0</v>
      </c>
      <c r="AC135" s="6">
        <f t="shared" si="50"/>
        <v>0</v>
      </c>
    </row>
    <row r="136" spans="1:29" x14ac:dyDescent="0.25">
      <c r="A136">
        <v>122</v>
      </c>
      <c r="B136">
        <f t="shared" si="30"/>
        <v>122</v>
      </c>
      <c r="C136" s="200">
        <f t="shared" si="31"/>
        <v>10.166666666666666</v>
      </c>
      <c r="D136" s="6">
        <f t="shared" si="42"/>
        <v>0</v>
      </c>
      <c r="E136" s="6">
        <f t="shared" si="43"/>
        <v>0</v>
      </c>
      <c r="F136" s="6">
        <f t="shared" si="51"/>
        <v>0</v>
      </c>
      <c r="G136" s="6">
        <f t="shared" si="32"/>
        <v>0</v>
      </c>
      <c r="H136" s="6">
        <f t="shared" si="33"/>
        <v>0</v>
      </c>
      <c r="I136" s="6">
        <f t="shared" si="44"/>
        <v>0</v>
      </c>
      <c r="K136">
        <v>122</v>
      </c>
      <c r="L136">
        <f t="shared" si="34"/>
        <v>122</v>
      </c>
      <c r="M136" s="200">
        <f t="shared" si="35"/>
        <v>10.166666666666666</v>
      </c>
      <c r="N136" s="6">
        <f t="shared" si="45"/>
        <v>0</v>
      </c>
      <c r="O136" s="6">
        <f t="shared" si="46"/>
        <v>0</v>
      </c>
      <c r="P136" s="6">
        <f t="shared" si="52"/>
        <v>0</v>
      </c>
      <c r="Q136" s="6">
        <f t="shared" si="36"/>
        <v>0</v>
      </c>
      <c r="R136" s="6">
        <f t="shared" si="37"/>
        <v>0</v>
      </c>
      <c r="S136" s="6">
        <f t="shared" si="47"/>
        <v>0</v>
      </c>
      <c r="U136">
        <v>122</v>
      </c>
      <c r="V136">
        <f t="shared" si="38"/>
        <v>122</v>
      </c>
      <c r="W136" s="200">
        <f t="shared" si="39"/>
        <v>10.166666666666666</v>
      </c>
      <c r="X136" s="6">
        <f t="shared" si="48"/>
        <v>0</v>
      </c>
      <c r="Y136" s="6">
        <f t="shared" si="49"/>
        <v>0</v>
      </c>
      <c r="Z136" s="6">
        <f t="shared" si="53"/>
        <v>0</v>
      </c>
      <c r="AA136" s="6">
        <f t="shared" si="40"/>
        <v>0</v>
      </c>
      <c r="AB136" s="6">
        <f t="shared" si="41"/>
        <v>0</v>
      </c>
      <c r="AC136" s="6">
        <f t="shared" si="50"/>
        <v>0</v>
      </c>
    </row>
    <row r="137" spans="1:29" x14ac:dyDescent="0.25">
      <c r="A137">
        <v>123</v>
      </c>
      <c r="B137">
        <f t="shared" si="30"/>
        <v>123</v>
      </c>
      <c r="C137" s="200">
        <f t="shared" si="31"/>
        <v>10.25</v>
      </c>
      <c r="D137" s="6">
        <f t="shared" si="42"/>
        <v>0</v>
      </c>
      <c r="E137" s="6">
        <f t="shared" si="43"/>
        <v>0</v>
      </c>
      <c r="F137" s="6">
        <f t="shared" si="51"/>
        <v>0</v>
      </c>
      <c r="G137" s="6">
        <f t="shared" si="32"/>
        <v>0</v>
      </c>
      <c r="H137" s="6">
        <f t="shared" si="33"/>
        <v>0</v>
      </c>
      <c r="I137" s="6">
        <f t="shared" si="44"/>
        <v>0</v>
      </c>
      <c r="K137">
        <v>123</v>
      </c>
      <c r="L137">
        <f t="shared" si="34"/>
        <v>123</v>
      </c>
      <c r="M137" s="200">
        <f t="shared" si="35"/>
        <v>10.25</v>
      </c>
      <c r="N137" s="6">
        <f t="shared" si="45"/>
        <v>0</v>
      </c>
      <c r="O137" s="6">
        <f t="shared" si="46"/>
        <v>0</v>
      </c>
      <c r="P137" s="6">
        <f t="shared" si="52"/>
        <v>0</v>
      </c>
      <c r="Q137" s="6">
        <f t="shared" si="36"/>
        <v>0</v>
      </c>
      <c r="R137" s="6">
        <f t="shared" si="37"/>
        <v>0</v>
      </c>
      <c r="S137" s="6">
        <f t="shared" si="47"/>
        <v>0</v>
      </c>
      <c r="U137">
        <v>123</v>
      </c>
      <c r="V137">
        <f t="shared" si="38"/>
        <v>123</v>
      </c>
      <c r="W137" s="200">
        <f t="shared" si="39"/>
        <v>10.25</v>
      </c>
      <c r="X137" s="6">
        <f t="shared" si="48"/>
        <v>0</v>
      </c>
      <c r="Y137" s="6">
        <f t="shared" si="49"/>
        <v>0</v>
      </c>
      <c r="Z137" s="6">
        <f t="shared" si="53"/>
        <v>0</v>
      </c>
      <c r="AA137" s="6">
        <f t="shared" si="40"/>
        <v>0</v>
      </c>
      <c r="AB137" s="6">
        <f t="shared" si="41"/>
        <v>0</v>
      </c>
      <c r="AC137" s="6">
        <f t="shared" si="50"/>
        <v>0</v>
      </c>
    </row>
    <row r="138" spans="1:29" x14ac:dyDescent="0.25">
      <c r="A138">
        <v>124</v>
      </c>
      <c r="B138">
        <f t="shared" si="30"/>
        <v>124</v>
      </c>
      <c r="C138" s="200">
        <f t="shared" si="31"/>
        <v>10.333333333333334</v>
      </c>
      <c r="D138" s="6">
        <f t="shared" si="42"/>
        <v>0</v>
      </c>
      <c r="E138" s="6">
        <f t="shared" si="43"/>
        <v>0</v>
      </c>
      <c r="F138" s="6">
        <f t="shared" si="51"/>
        <v>0</v>
      </c>
      <c r="G138" s="6">
        <f t="shared" si="32"/>
        <v>0</v>
      </c>
      <c r="H138" s="6">
        <f t="shared" si="33"/>
        <v>0</v>
      </c>
      <c r="I138" s="6">
        <f t="shared" si="44"/>
        <v>0</v>
      </c>
      <c r="K138">
        <v>124</v>
      </c>
      <c r="L138">
        <f t="shared" si="34"/>
        <v>124</v>
      </c>
      <c r="M138" s="200">
        <f t="shared" si="35"/>
        <v>10.333333333333334</v>
      </c>
      <c r="N138" s="6">
        <f t="shared" si="45"/>
        <v>0</v>
      </c>
      <c r="O138" s="6">
        <f t="shared" si="46"/>
        <v>0</v>
      </c>
      <c r="P138" s="6">
        <f t="shared" si="52"/>
        <v>0</v>
      </c>
      <c r="Q138" s="6">
        <f t="shared" si="36"/>
        <v>0</v>
      </c>
      <c r="R138" s="6">
        <f t="shared" si="37"/>
        <v>0</v>
      </c>
      <c r="S138" s="6">
        <f t="shared" si="47"/>
        <v>0</v>
      </c>
      <c r="U138">
        <v>124</v>
      </c>
      <c r="V138">
        <f t="shared" si="38"/>
        <v>124</v>
      </c>
      <c r="W138" s="200">
        <f t="shared" si="39"/>
        <v>10.333333333333334</v>
      </c>
      <c r="X138" s="6">
        <f t="shared" si="48"/>
        <v>0</v>
      </c>
      <c r="Y138" s="6">
        <f t="shared" si="49"/>
        <v>0</v>
      </c>
      <c r="Z138" s="6">
        <f t="shared" si="53"/>
        <v>0</v>
      </c>
      <c r="AA138" s="6">
        <f t="shared" si="40"/>
        <v>0</v>
      </c>
      <c r="AB138" s="6">
        <f t="shared" si="41"/>
        <v>0</v>
      </c>
      <c r="AC138" s="6">
        <f t="shared" si="50"/>
        <v>0</v>
      </c>
    </row>
    <row r="139" spans="1:29" x14ac:dyDescent="0.25">
      <c r="A139">
        <v>125</v>
      </c>
      <c r="B139">
        <f t="shared" si="30"/>
        <v>125</v>
      </c>
      <c r="C139" s="200">
        <f t="shared" si="31"/>
        <v>10.416666666666666</v>
      </c>
      <c r="D139" s="6">
        <f t="shared" si="42"/>
        <v>0</v>
      </c>
      <c r="E139" s="6">
        <f t="shared" si="43"/>
        <v>0</v>
      </c>
      <c r="F139" s="6">
        <f t="shared" si="51"/>
        <v>0</v>
      </c>
      <c r="G139" s="6">
        <f t="shared" si="32"/>
        <v>0</v>
      </c>
      <c r="H139" s="6">
        <f t="shared" si="33"/>
        <v>0</v>
      </c>
      <c r="I139" s="6">
        <f t="shared" si="44"/>
        <v>0</v>
      </c>
      <c r="K139">
        <v>125</v>
      </c>
      <c r="L139">
        <f t="shared" si="34"/>
        <v>125</v>
      </c>
      <c r="M139" s="200">
        <f t="shared" si="35"/>
        <v>10.416666666666666</v>
      </c>
      <c r="N139" s="6">
        <f t="shared" si="45"/>
        <v>0</v>
      </c>
      <c r="O139" s="6">
        <f t="shared" si="46"/>
        <v>0</v>
      </c>
      <c r="P139" s="6">
        <f t="shared" si="52"/>
        <v>0</v>
      </c>
      <c r="Q139" s="6">
        <f t="shared" si="36"/>
        <v>0</v>
      </c>
      <c r="R139" s="6">
        <f t="shared" si="37"/>
        <v>0</v>
      </c>
      <c r="S139" s="6">
        <f t="shared" si="47"/>
        <v>0</v>
      </c>
      <c r="U139">
        <v>125</v>
      </c>
      <c r="V139">
        <f t="shared" si="38"/>
        <v>125</v>
      </c>
      <c r="W139" s="200">
        <f t="shared" si="39"/>
        <v>10.416666666666666</v>
      </c>
      <c r="X139" s="6">
        <f t="shared" si="48"/>
        <v>0</v>
      </c>
      <c r="Y139" s="6">
        <f t="shared" si="49"/>
        <v>0</v>
      </c>
      <c r="Z139" s="6">
        <f t="shared" si="53"/>
        <v>0</v>
      </c>
      <c r="AA139" s="6">
        <f t="shared" si="40"/>
        <v>0</v>
      </c>
      <c r="AB139" s="6">
        <f t="shared" si="41"/>
        <v>0</v>
      </c>
      <c r="AC139" s="6">
        <f t="shared" si="50"/>
        <v>0</v>
      </c>
    </row>
    <row r="140" spans="1:29" x14ac:dyDescent="0.25">
      <c r="A140">
        <v>126</v>
      </c>
      <c r="B140">
        <f t="shared" si="30"/>
        <v>126</v>
      </c>
      <c r="C140" s="200">
        <f t="shared" si="31"/>
        <v>10.5</v>
      </c>
      <c r="D140" s="6">
        <f t="shared" si="42"/>
        <v>0</v>
      </c>
      <c r="E140" s="6">
        <f t="shared" si="43"/>
        <v>0</v>
      </c>
      <c r="F140" s="6">
        <f t="shared" si="51"/>
        <v>0</v>
      </c>
      <c r="G140" s="6">
        <f t="shared" si="32"/>
        <v>0</v>
      </c>
      <c r="H140" s="6">
        <f t="shared" si="33"/>
        <v>0</v>
      </c>
      <c r="I140" s="6">
        <f t="shared" si="44"/>
        <v>0</v>
      </c>
      <c r="K140">
        <v>126</v>
      </c>
      <c r="L140">
        <f t="shared" si="34"/>
        <v>126</v>
      </c>
      <c r="M140" s="200">
        <f t="shared" si="35"/>
        <v>10.5</v>
      </c>
      <c r="N140" s="6">
        <f t="shared" si="45"/>
        <v>0</v>
      </c>
      <c r="O140" s="6">
        <f t="shared" si="46"/>
        <v>0</v>
      </c>
      <c r="P140" s="6">
        <f t="shared" si="52"/>
        <v>0</v>
      </c>
      <c r="Q140" s="6">
        <f t="shared" si="36"/>
        <v>0</v>
      </c>
      <c r="R140" s="6">
        <f t="shared" si="37"/>
        <v>0</v>
      </c>
      <c r="S140" s="6">
        <f t="shared" si="47"/>
        <v>0</v>
      </c>
      <c r="U140">
        <v>126</v>
      </c>
      <c r="V140">
        <f t="shared" si="38"/>
        <v>126</v>
      </c>
      <c r="W140" s="200">
        <f t="shared" si="39"/>
        <v>10.5</v>
      </c>
      <c r="X140" s="6">
        <f t="shared" si="48"/>
        <v>0</v>
      </c>
      <c r="Y140" s="6">
        <f t="shared" si="49"/>
        <v>0</v>
      </c>
      <c r="Z140" s="6">
        <f t="shared" si="53"/>
        <v>0</v>
      </c>
      <c r="AA140" s="6">
        <f t="shared" si="40"/>
        <v>0</v>
      </c>
      <c r="AB140" s="6">
        <f t="shared" si="41"/>
        <v>0</v>
      </c>
      <c r="AC140" s="6">
        <f t="shared" si="50"/>
        <v>0</v>
      </c>
    </row>
    <row r="141" spans="1:29" x14ac:dyDescent="0.25">
      <c r="A141">
        <v>127</v>
      </c>
      <c r="B141">
        <f t="shared" si="30"/>
        <v>127</v>
      </c>
      <c r="C141" s="200">
        <f t="shared" si="31"/>
        <v>10.583333333333334</v>
      </c>
      <c r="D141" s="6">
        <f t="shared" si="42"/>
        <v>0</v>
      </c>
      <c r="E141" s="6">
        <f t="shared" si="43"/>
        <v>0</v>
      </c>
      <c r="F141" s="6">
        <f t="shared" si="51"/>
        <v>0</v>
      </c>
      <c r="G141" s="6">
        <f t="shared" si="32"/>
        <v>0</v>
      </c>
      <c r="H141" s="6">
        <f t="shared" si="33"/>
        <v>0</v>
      </c>
      <c r="I141" s="6">
        <f t="shared" si="44"/>
        <v>0</v>
      </c>
      <c r="K141">
        <v>127</v>
      </c>
      <c r="L141">
        <f t="shared" si="34"/>
        <v>127</v>
      </c>
      <c r="M141" s="200">
        <f t="shared" si="35"/>
        <v>10.583333333333334</v>
      </c>
      <c r="N141" s="6">
        <f t="shared" si="45"/>
        <v>0</v>
      </c>
      <c r="O141" s="6">
        <f t="shared" si="46"/>
        <v>0</v>
      </c>
      <c r="P141" s="6">
        <f t="shared" si="52"/>
        <v>0</v>
      </c>
      <c r="Q141" s="6">
        <f t="shared" si="36"/>
        <v>0</v>
      </c>
      <c r="R141" s="6">
        <f t="shared" si="37"/>
        <v>0</v>
      </c>
      <c r="S141" s="6">
        <f t="shared" si="47"/>
        <v>0</v>
      </c>
      <c r="U141">
        <v>127</v>
      </c>
      <c r="V141">
        <f t="shared" si="38"/>
        <v>127</v>
      </c>
      <c r="W141" s="200">
        <f t="shared" si="39"/>
        <v>10.583333333333334</v>
      </c>
      <c r="X141" s="6">
        <f t="shared" si="48"/>
        <v>0</v>
      </c>
      <c r="Y141" s="6">
        <f t="shared" si="49"/>
        <v>0</v>
      </c>
      <c r="Z141" s="6">
        <f t="shared" si="53"/>
        <v>0</v>
      </c>
      <c r="AA141" s="6">
        <f t="shared" si="40"/>
        <v>0</v>
      </c>
      <c r="AB141" s="6">
        <f t="shared" si="41"/>
        <v>0</v>
      </c>
      <c r="AC141" s="6">
        <f t="shared" si="50"/>
        <v>0</v>
      </c>
    </row>
    <row r="142" spans="1:29" x14ac:dyDescent="0.25">
      <c r="A142">
        <v>128</v>
      </c>
      <c r="B142">
        <f t="shared" si="30"/>
        <v>128</v>
      </c>
      <c r="C142" s="200">
        <f t="shared" si="31"/>
        <v>10.666666666666666</v>
      </c>
      <c r="D142" s="6">
        <f t="shared" si="42"/>
        <v>0</v>
      </c>
      <c r="E142" s="6">
        <f t="shared" si="43"/>
        <v>0</v>
      </c>
      <c r="F142" s="6">
        <f t="shared" si="51"/>
        <v>0</v>
      </c>
      <c r="G142" s="6">
        <f t="shared" si="32"/>
        <v>0</v>
      </c>
      <c r="H142" s="6">
        <f t="shared" si="33"/>
        <v>0</v>
      </c>
      <c r="I142" s="6">
        <f t="shared" si="44"/>
        <v>0</v>
      </c>
      <c r="K142">
        <v>128</v>
      </c>
      <c r="L142">
        <f t="shared" si="34"/>
        <v>128</v>
      </c>
      <c r="M142" s="200">
        <f t="shared" si="35"/>
        <v>10.666666666666666</v>
      </c>
      <c r="N142" s="6">
        <f t="shared" si="45"/>
        <v>0</v>
      </c>
      <c r="O142" s="6">
        <f t="shared" si="46"/>
        <v>0</v>
      </c>
      <c r="P142" s="6">
        <f t="shared" si="52"/>
        <v>0</v>
      </c>
      <c r="Q142" s="6">
        <f t="shared" si="36"/>
        <v>0</v>
      </c>
      <c r="R142" s="6">
        <f t="shared" si="37"/>
        <v>0</v>
      </c>
      <c r="S142" s="6">
        <f t="shared" si="47"/>
        <v>0</v>
      </c>
      <c r="U142">
        <v>128</v>
      </c>
      <c r="V142">
        <f t="shared" si="38"/>
        <v>128</v>
      </c>
      <c r="W142" s="200">
        <f t="shared" si="39"/>
        <v>10.666666666666666</v>
      </c>
      <c r="X142" s="6">
        <f t="shared" si="48"/>
        <v>0</v>
      </c>
      <c r="Y142" s="6">
        <f t="shared" si="49"/>
        <v>0</v>
      </c>
      <c r="Z142" s="6">
        <f t="shared" si="53"/>
        <v>0</v>
      </c>
      <c r="AA142" s="6">
        <f t="shared" si="40"/>
        <v>0</v>
      </c>
      <c r="AB142" s="6">
        <f t="shared" si="41"/>
        <v>0</v>
      </c>
      <c r="AC142" s="6">
        <f t="shared" si="50"/>
        <v>0</v>
      </c>
    </row>
    <row r="143" spans="1:29" x14ac:dyDescent="0.25">
      <c r="A143">
        <v>129</v>
      </c>
      <c r="B143">
        <f t="shared" si="30"/>
        <v>129</v>
      </c>
      <c r="C143" s="200">
        <f t="shared" si="31"/>
        <v>10.75</v>
      </c>
      <c r="D143" s="6">
        <f t="shared" si="42"/>
        <v>0</v>
      </c>
      <c r="E143" s="6">
        <f t="shared" si="43"/>
        <v>0</v>
      </c>
      <c r="F143" s="6">
        <f t="shared" ref="F143:F174" si="54">IF(B$10&gt;=A143,0,E143-G143)</f>
        <v>0</v>
      </c>
      <c r="G143" s="6">
        <f t="shared" si="32"/>
        <v>0</v>
      </c>
      <c r="H143" s="6">
        <f t="shared" si="33"/>
        <v>0</v>
      </c>
      <c r="I143" s="6">
        <f t="shared" si="44"/>
        <v>0</v>
      </c>
      <c r="K143">
        <v>129</v>
      </c>
      <c r="L143">
        <f t="shared" si="34"/>
        <v>129</v>
      </c>
      <c r="M143" s="200">
        <f t="shared" si="35"/>
        <v>10.75</v>
      </c>
      <c r="N143" s="6">
        <f t="shared" si="45"/>
        <v>0</v>
      </c>
      <c r="O143" s="6">
        <f t="shared" si="46"/>
        <v>0</v>
      </c>
      <c r="P143" s="6">
        <f t="shared" ref="P143:P174" si="55">IF(L$10&gt;=K143,0,O143-Q143)</f>
        <v>0</v>
      </c>
      <c r="Q143" s="6">
        <f t="shared" si="36"/>
        <v>0</v>
      </c>
      <c r="R143" s="6">
        <f t="shared" si="37"/>
        <v>0</v>
      </c>
      <c r="S143" s="6">
        <f t="shared" si="47"/>
        <v>0</v>
      </c>
      <c r="U143">
        <v>129</v>
      </c>
      <c r="V143">
        <f t="shared" si="38"/>
        <v>129</v>
      </c>
      <c r="W143" s="200">
        <f t="shared" si="39"/>
        <v>10.75</v>
      </c>
      <c r="X143" s="6">
        <f t="shared" si="48"/>
        <v>0</v>
      </c>
      <c r="Y143" s="6">
        <f t="shared" si="49"/>
        <v>0</v>
      </c>
      <c r="Z143" s="6">
        <f t="shared" ref="Z143:Z174" si="56">IF(V$10&gt;=U143,0,Y143-AA143)</f>
        <v>0</v>
      </c>
      <c r="AA143" s="6">
        <f t="shared" si="40"/>
        <v>0</v>
      </c>
      <c r="AB143" s="6">
        <f t="shared" si="41"/>
        <v>0</v>
      </c>
      <c r="AC143" s="6">
        <f t="shared" si="50"/>
        <v>0</v>
      </c>
    </row>
    <row r="144" spans="1:29" x14ac:dyDescent="0.25">
      <c r="A144">
        <v>130</v>
      </c>
      <c r="B144">
        <f t="shared" ref="B144:B194" si="57">A144*12/B$6</f>
        <v>130</v>
      </c>
      <c r="C144" s="200">
        <f t="shared" ref="C144:C194" si="58">A144/B$6</f>
        <v>10.833333333333334</v>
      </c>
      <c r="D144" s="6">
        <f t="shared" si="42"/>
        <v>0</v>
      </c>
      <c r="E144" s="6">
        <f t="shared" si="43"/>
        <v>0</v>
      </c>
      <c r="F144" s="6">
        <f t="shared" si="54"/>
        <v>0</v>
      </c>
      <c r="G144" s="6">
        <f t="shared" ref="G144:G194" si="59">D144*B$3/B$6</f>
        <v>0</v>
      </c>
      <c r="H144" s="6">
        <f t="shared" ref="H144:H194" si="60">SUM(F144:G144)</f>
        <v>0</v>
      </c>
      <c r="I144" s="6">
        <f t="shared" si="44"/>
        <v>0</v>
      </c>
      <c r="K144">
        <v>130</v>
      </c>
      <c r="L144">
        <f t="shared" ref="L144:L194" si="61">K144*12/L$6</f>
        <v>130</v>
      </c>
      <c r="M144" s="200">
        <f t="shared" ref="M144:M194" si="62">K144/L$6</f>
        <v>10.833333333333334</v>
      </c>
      <c r="N144" s="6">
        <f t="shared" si="45"/>
        <v>0</v>
      </c>
      <c r="O144" s="6">
        <f t="shared" si="46"/>
        <v>0</v>
      </c>
      <c r="P144" s="6">
        <f t="shared" si="55"/>
        <v>0</v>
      </c>
      <c r="Q144" s="6">
        <f t="shared" ref="Q144:Q194" si="63">N144*L$3/L$6</f>
        <v>0</v>
      </c>
      <c r="R144" s="6">
        <f t="shared" ref="R144:R194" si="64">SUM(P144:Q144)</f>
        <v>0</v>
      </c>
      <c r="S144" s="6">
        <f t="shared" si="47"/>
        <v>0</v>
      </c>
      <c r="U144">
        <v>130</v>
      </c>
      <c r="V144">
        <f t="shared" ref="V144:V194" si="65">U144*12/V$6</f>
        <v>130</v>
      </c>
      <c r="W144" s="200">
        <f t="shared" ref="W144:W194" si="66">U144/V$6</f>
        <v>10.833333333333334</v>
      </c>
      <c r="X144" s="6">
        <f t="shared" si="48"/>
        <v>0</v>
      </c>
      <c r="Y144" s="6">
        <f t="shared" si="49"/>
        <v>0</v>
      </c>
      <c r="Z144" s="6">
        <f t="shared" si="56"/>
        <v>0</v>
      </c>
      <c r="AA144" s="6">
        <f t="shared" ref="AA144:AA194" si="67">X144*V$3/V$6</f>
        <v>0</v>
      </c>
      <c r="AB144" s="6">
        <f t="shared" ref="AB144:AB194" si="68">SUM(Z144:AA144)</f>
        <v>0</v>
      </c>
      <c r="AC144" s="6">
        <f t="shared" si="50"/>
        <v>0</v>
      </c>
    </row>
    <row r="145" spans="1:29" x14ac:dyDescent="0.25">
      <c r="A145">
        <v>131</v>
      </c>
      <c r="B145">
        <f t="shared" si="57"/>
        <v>131</v>
      </c>
      <c r="C145" s="200">
        <f t="shared" si="58"/>
        <v>10.916666666666666</v>
      </c>
      <c r="D145" s="6">
        <f t="shared" ref="D145:D194" si="69">IF(I144&gt;0,I144,0)</f>
        <v>0</v>
      </c>
      <c r="E145" s="6">
        <f t="shared" ref="E145:E194" si="70">IF(D145&gt;0,MIN(E144,D145),0)</f>
        <v>0</v>
      </c>
      <c r="F145" s="6">
        <f t="shared" si="54"/>
        <v>0</v>
      </c>
      <c r="G145" s="6">
        <f t="shared" si="59"/>
        <v>0</v>
      </c>
      <c r="H145" s="6">
        <f t="shared" si="60"/>
        <v>0</v>
      </c>
      <c r="I145" s="6">
        <f t="shared" ref="I145:I194" si="71">D145-F145</f>
        <v>0</v>
      </c>
      <c r="K145">
        <v>131</v>
      </c>
      <c r="L145">
        <f t="shared" si="61"/>
        <v>131</v>
      </c>
      <c r="M145" s="200">
        <f t="shared" si="62"/>
        <v>10.916666666666666</v>
      </c>
      <c r="N145" s="6">
        <f t="shared" ref="N145:N194" si="72">IF(S144&gt;0,S144,0)</f>
        <v>0</v>
      </c>
      <c r="O145" s="6">
        <f t="shared" ref="O145:O194" si="73">IF(N145&gt;0,MIN(O144,N145),0)</f>
        <v>0</v>
      </c>
      <c r="P145" s="6">
        <f t="shared" si="55"/>
        <v>0</v>
      </c>
      <c r="Q145" s="6">
        <f t="shared" si="63"/>
        <v>0</v>
      </c>
      <c r="R145" s="6">
        <f t="shared" si="64"/>
        <v>0</v>
      </c>
      <c r="S145" s="6">
        <f t="shared" ref="S145:S194" si="74">N145-P145</f>
        <v>0</v>
      </c>
      <c r="U145">
        <v>131</v>
      </c>
      <c r="V145">
        <f t="shared" si="65"/>
        <v>131</v>
      </c>
      <c r="W145" s="200">
        <f t="shared" si="66"/>
        <v>10.916666666666666</v>
      </c>
      <c r="X145" s="6">
        <f t="shared" ref="X145:X194" si="75">IF(AC144&gt;0,AC144,0)</f>
        <v>0</v>
      </c>
      <c r="Y145" s="6">
        <f t="shared" ref="Y145:Y194" si="76">IF(X145&gt;0,MIN(Y144,X145),0)</f>
        <v>0</v>
      </c>
      <c r="Z145" s="6">
        <f t="shared" si="56"/>
        <v>0</v>
      </c>
      <c r="AA145" s="6">
        <f t="shared" si="67"/>
        <v>0</v>
      </c>
      <c r="AB145" s="6">
        <f t="shared" si="68"/>
        <v>0</v>
      </c>
      <c r="AC145" s="6">
        <f t="shared" ref="AC145:AC194" si="77">X145-Z145</f>
        <v>0</v>
      </c>
    </row>
    <row r="146" spans="1:29" x14ac:dyDescent="0.25">
      <c r="A146">
        <v>132</v>
      </c>
      <c r="B146">
        <f t="shared" si="57"/>
        <v>132</v>
      </c>
      <c r="C146" s="200">
        <f t="shared" si="58"/>
        <v>11</v>
      </c>
      <c r="D146" s="6">
        <f t="shared" si="69"/>
        <v>0</v>
      </c>
      <c r="E146" s="6">
        <f t="shared" si="70"/>
        <v>0</v>
      </c>
      <c r="F146" s="6">
        <f t="shared" si="54"/>
        <v>0</v>
      </c>
      <c r="G146" s="6">
        <f t="shared" si="59"/>
        <v>0</v>
      </c>
      <c r="H146" s="6">
        <f t="shared" si="60"/>
        <v>0</v>
      </c>
      <c r="I146" s="6">
        <f t="shared" si="71"/>
        <v>0</v>
      </c>
      <c r="K146">
        <v>132</v>
      </c>
      <c r="L146">
        <f t="shared" si="61"/>
        <v>132</v>
      </c>
      <c r="M146" s="200">
        <f t="shared" si="62"/>
        <v>11</v>
      </c>
      <c r="N146" s="6">
        <f t="shared" si="72"/>
        <v>0</v>
      </c>
      <c r="O146" s="6">
        <f t="shared" si="73"/>
        <v>0</v>
      </c>
      <c r="P146" s="6">
        <f t="shared" si="55"/>
        <v>0</v>
      </c>
      <c r="Q146" s="6">
        <f t="shared" si="63"/>
        <v>0</v>
      </c>
      <c r="R146" s="6">
        <f t="shared" si="64"/>
        <v>0</v>
      </c>
      <c r="S146" s="6">
        <f t="shared" si="74"/>
        <v>0</v>
      </c>
      <c r="U146">
        <v>132</v>
      </c>
      <c r="V146">
        <f t="shared" si="65"/>
        <v>132</v>
      </c>
      <c r="W146" s="200">
        <f t="shared" si="66"/>
        <v>11</v>
      </c>
      <c r="X146" s="6">
        <f t="shared" si="75"/>
        <v>0</v>
      </c>
      <c r="Y146" s="6">
        <f t="shared" si="76"/>
        <v>0</v>
      </c>
      <c r="Z146" s="6">
        <f t="shared" si="56"/>
        <v>0</v>
      </c>
      <c r="AA146" s="6">
        <f t="shared" si="67"/>
        <v>0</v>
      </c>
      <c r="AB146" s="6">
        <f t="shared" si="68"/>
        <v>0</v>
      </c>
      <c r="AC146" s="6">
        <f t="shared" si="77"/>
        <v>0</v>
      </c>
    </row>
    <row r="147" spans="1:29" x14ac:dyDescent="0.25">
      <c r="A147">
        <v>133</v>
      </c>
      <c r="B147">
        <f t="shared" si="57"/>
        <v>133</v>
      </c>
      <c r="C147" s="200">
        <f t="shared" si="58"/>
        <v>11.083333333333334</v>
      </c>
      <c r="D147" s="6">
        <f t="shared" si="69"/>
        <v>0</v>
      </c>
      <c r="E147" s="6">
        <f t="shared" si="70"/>
        <v>0</v>
      </c>
      <c r="F147" s="6">
        <f t="shared" si="54"/>
        <v>0</v>
      </c>
      <c r="G147" s="6">
        <f t="shared" si="59"/>
        <v>0</v>
      </c>
      <c r="H147" s="6">
        <f t="shared" si="60"/>
        <v>0</v>
      </c>
      <c r="I147" s="6">
        <f t="shared" si="71"/>
        <v>0</v>
      </c>
      <c r="K147">
        <v>133</v>
      </c>
      <c r="L147">
        <f t="shared" si="61"/>
        <v>133</v>
      </c>
      <c r="M147" s="200">
        <f t="shared" si="62"/>
        <v>11.083333333333334</v>
      </c>
      <c r="N147" s="6">
        <f t="shared" si="72"/>
        <v>0</v>
      </c>
      <c r="O147" s="6">
        <f t="shared" si="73"/>
        <v>0</v>
      </c>
      <c r="P147" s="6">
        <f t="shared" si="55"/>
        <v>0</v>
      </c>
      <c r="Q147" s="6">
        <f t="shared" si="63"/>
        <v>0</v>
      </c>
      <c r="R147" s="6">
        <f t="shared" si="64"/>
        <v>0</v>
      </c>
      <c r="S147" s="6">
        <f t="shared" si="74"/>
        <v>0</v>
      </c>
      <c r="U147">
        <v>133</v>
      </c>
      <c r="V147">
        <f t="shared" si="65"/>
        <v>133</v>
      </c>
      <c r="W147" s="200">
        <f t="shared" si="66"/>
        <v>11.083333333333334</v>
      </c>
      <c r="X147" s="6">
        <f t="shared" si="75"/>
        <v>0</v>
      </c>
      <c r="Y147" s="6">
        <f t="shared" si="76"/>
        <v>0</v>
      </c>
      <c r="Z147" s="6">
        <f t="shared" si="56"/>
        <v>0</v>
      </c>
      <c r="AA147" s="6">
        <f t="shared" si="67"/>
        <v>0</v>
      </c>
      <c r="AB147" s="6">
        <f t="shared" si="68"/>
        <v>0</v>
      </c>
      <c r="AC147" s="6">
        <f t="shared" si="77"/>
        <v>0</v>
      </c>
    </row>
    <row r="148" spans="1:29" x14ac:dyDescent="0.25">
      <c r="A148">
        <v>134</v>
      </c>
      <c r="B148">
        <f t="shared" si="57"/>
        <v>134</v>
      </c>
      <c r="C148" s="200">
        <f t="shared" si="58"/>
        <v>11.166666666666666</v>
      </c>
      <c r="D148" s="6">
        <f t="shared" si="69"/>
        <v>0</v>
      </c>
      <c r="E148" s="6">
        <f t="shared" si="70"/>
        <v>0</v>
      </c>
      <c r="F148" s="6">
        <f t="shared" si="54"/>
        <v>0</v>
      </c>
      <c r="G148" s="6">
        <f t="shared" si="59"/>
        <v>0</v>
      </c>
      <c r="H148" s="6">
        <f t="shared" si="60"/>
        <v>0</v>
      </c>
      <c r="I148" s="6">
        <f t="shared" si="71"/>
        <v>0</v>
      </c>
      <c r="K148">
        <v>134</v>
      </c>
      <c r="L148">
        <f t="shared" si="61"/>
        <v>134</v>
      </c>
      <c r="M148" s="200">
        <f t="shared" si="62"/>
        <v>11.166666666666666</v>
      </c>
      <c r="N148" s="6">
        <f t="shared" si="72"/>
        <v>0</v>
      </c>
      <c r="O148" s="6">
        <f t="shared" si="73"/>
        <v>0</v>
      </c>
      <c r="P148" s="6">
        <f t="shared" si="55"/>
        <v>0</v>
      </c>
      <c r="Q148" s="6">
        <f t="shared" si="63"/>
        <v>0</v>
      </c>
      <c r="R148" s="6">
        <f t="shared" si="64"/>
        <v>0</v>
      </c>
      <c r="S148" s="6">
        <f t="shared" si="74"/>
        <v>0</v>
      </c>
      <c r="U148">
        <v>134</v>
      </c>
      <c r="V148">
        <f t="shared" si="65"/>
        <v>134</v>
      </c>
      <c r="W148" s="200">
        <f t="shared" si="66"/>
        <v>11.166666666666666</v>
      </c>
      <c r="X148" s="6">
        <f t="shared" si="75"/>
        <v>0</v>
      </c>
      <c r="Y148" s="6">
        <f t="shared" si="76"/>
        <v>0</v>
      </c>
      <c r="Z148" s="6">
        <f t="shared" si="56"/>
        <v>0</v>
      </c>
      <c r="AA148" s="6">
        <f t="shared" si="67"/>
        <v>0</v>
      </c>
      <c r="AB148" s="6">
        <f t="shared" si="68"/>
        <v>0</v>
      </c>
      <c r="AC148" s="6">
        <f t="shared" si="77"/>
        <v>0</v>
      </c>
    </row>
    <row r="149" spans="1:29" x14ac:dyDescent="0.25">
      <c r="A149">
        <v>135</v>
      </c>
      <c r="B149">
        <f t="shared" si="57"/>
        <v>135</v>
      </c>
      <c r="C149" s="200">
        <f t="shared" si="58"/>
        <v>11.25</v>
      </c>
      <c r="D149" s="6">
        <f t="shared" si="69"/>
        <v>0</v>
      </c>
      <c r="E149" s="6">
        <f t="shared" si="70"/>
        <v>0</v>
      </c>
      <c r="F149" s="6">
        <f t="shared" si="54"/>
        <v>0</v>
      </c>
      <c r="G149" s="6">
        <f t="shared" si="59"/>
        <v>0</v>
      </c>
      <c r="H149" s="6">
        <f t="shared" si="60"/>
        <v>0</v>
      </c>
      <c r="I149" s="6">
        <f t="shared" si="71"/>
        <v>0</v>
      </c>
      <c r="K149">
        <v>135</v>
      </c>
      <c r="L149">
        <f t="shared" si="61"/>
        <v>135</v>
      </c>
      <c r="M149" s="200">
        <f t="shared" si="62"/>
        <v>11.25</v>
      </c>
      <c r="N149" s="6">
        <f t="shared" si="72"/>
        <v>0</v>
      </c>
      <c r="O149" s="6">
        <f t="shared" si="73"/>
        <v>0</v>
      </c>
      <c r="P149" s="6">
        <f t="shared" si="55"/>
        <v>0</v>
      </c>
      <c r="Q149" s="6">
        <f t="shared" si="63"/>
        <v>0</v>
      </c>
      <c r="R149" s="6">
        <f t="shared" si="64"/>
        <v>0</v>
      </c>
      <c r="S149" s="6">
        <f t="shared" si="74"/>
        <v>0</v>
      </c>
      <c r="U149">
        <v>135</v>
      </c>
      <c r="V149">
        <f t="shared" si="65"/>
        <v>135</v>
      </c>
      <c r="W149" s="200">
        <f t="shared" si="66"/>
        <v>11.25</v>
      </c>
      <c r="X149" s="6">
        <f t="shared" si="75"/>
        <v>0</v>
      </c>
      <c r="Y149" s="6">
        <f t="shared" si="76"/>
        <v>0</v>
      </c>
      <c r="Z149" s="6">
        <f t="shared" si="56"/>
        <v>0</v>
      </c>
      <c r="AA149" s="6">
        <f t="shared" si="67"/>
        <v>0</v>
      </c>
      <c r="AB149" s="6">
        <f t="shared" si="68"/>
        <v>0</v>
      </c>
      <c r="AC149" s="6">
        <f t="shared" si="77"/>
        <v>0</v>
      </c>
    </row>
    <row r="150" spans="1:29" x14ac:dyDescent="0.25">
      <c r="A150">
        <v>136</v>
      </c>
      <c r="B150">
        <f t="shared" si="57"/>
        <v>136</v>
      </c>
      <c r="C150" s="200">
        <f t="shared" si="58"/>
        <v>11.333333333333334</v>
      </c>
      <c r="D150" s="6">
        <f t="shared" si="69"/>
        <v>0</v>
      </c>
      <c r="E150" s="6">
        <f t="shared" si="70"/>
        <v>0</v>
      </c>
      <c r="F150" s="6">
        <f t="shared" si="54"/>
        <v>0</v>
      </c>
      <c r="G150" s="6">
        <f t="shared" si="59"/>
        <v>0</v>
      </c>
      <c r="H150" s="6">
        <f t="shared" si="60"/>
        <v>0</v>
      </c>
      <c r="I150" s="6">
        <f t="shared" si="71"/>
        <v>0</v>
      </c>
      <c r="K150">
        <v>136</v>
      </c>
      <c r="L150">
        <f t="shared" si="61"/>
        <v>136</v>
      </c>
      <c r="M150" s="200">
        <f t="shared" si="62"/>
        <v>11.333333333333334</v>
      </c>
      <c r="N150" s="6">
        <f t="shared" si="72"/>
        <v>0</v>
      </c>
      <c r="O150" s="6">
        <f t="shared" si="73"/>
        <v>0</v>
      </c>
      <c r="P150" s="6">
        <f t="shared" si="55"/>
        <v>0</v>
      </c>
      <c r="Q150" s="6">
        <f t="shared" si="63"/>
        <v>0</v>
      </c>
      <c r="R150" s="6">
        <f t="shared" si="64"/>
        <v>0</v>
      </c>
      <c r="S150" s="6">
        <f t="shared" si="74"/>
        <v>0</v>
      </c>
      <c r="U150">
        <v>136</v>
      </c>
      <c r="V150">
        <f t="shared" si="65"/>
        <v>136</v>
      </c>
      <c r="W150" s="200">
        <f t="shared" si="66"/>
        <v>11.333333333333334</v>
      </c>
      <c r="X150" s="6">
        <f t="shared" si="75"/>
        <v>0</v>
      </c>
      <c r="Y150" s="6">
        <f t="shared" si="76"/>
        <v>0</v>
      </c>
      <c r="Z150" s="6">
        <f t="shared" si="56"/>
        <v>0</v>
      </c>
      <c r="AA150" s="6">
        <f t="shared" si="67"/>
        <v>0</v>
      </c>
      <c r="AB150" s="6">
        <f t="shared" si="68"/>
        <v>0</v>
      </c>
      <c r="AC150" s="6">
        <f t="shared" si="77"/>
        <v>0</v>
      </c>
    </row>
    <row r="151" spans="1:29" x14ac:dyDescent="0.25">
      <c r="A151">
        <v>137</v>
      </c>
      <c r="B151">
        <f t="shared" si="57"/>
        <v>137</v>
      </c>
      <c r="C151" s="200">
        <f t="shared" si="58"/>
        <v>11.416666666666666</v>
      </c>
      <c r="D151" s="6">
        <f t="shared" si="69"/>
        <v>0</v>
      </c>
      <c r="E151" s="6">
        <f t="shared" si="70"/>
        <v>0</v>
      </c>
      <c r="F151" s="6">
        <f t="shared" si="54"/>
        <v>0</v>
      </c>
      <c r="G151" s="6">
        <f t="shared" si="59"/>
        <v>0</v>
      </c>
      <c r="H151" s="6">
        <f t="shared" si="60"/>
        <v>0</v>
      </c>
      <c r="I151" s="6">
        <f t="shared" si="71"/>
        <v>0</v>
      </c>
      <c r="K151">
        <v>137</v>
      </c>
      <c r="L151">
        <f t="shared" si="61"/>
        <v>137</v>
      </c>
      <c r="M151" s="200">
        <f t="shared" si="62"/>
        <v>11.416666666666666</v>
      </c>
      <c r="N151" s="6">
        <f t="shared" si="72"/>
        <v>0</v>
      </c>
      <c r="O151" s="6">
        <f t="shared" si="73"/>
        <v>0</v>
      </c>
      <c r="P151" s="6">
        <f t="shared" si="55"/>
        <v>0</v>
      </c>
      <c r="Q151" s="6">
        <f t="shared" si="63"/>
        <v>0</v>
      </c>
      <c r="R151" s="6">
        <f t="shared" si="64"/>
        <v>0</v>
      </c>
      <c r="S151" s="6">
        <f t="shared" si="74"/>
        <v>0</v>
      </c>
      <c r="U151">
        <v>137</v>
      </c>
      <c r="V151">
        <f t="shared" si="65"/>
        <v>137</v>
      </c>
      <c r="W151" s="200">
        <f t="shared" si="66"/>
        <v>11.416666666666666</v>
      </c>
      <c r="X151" s="6">
        <f t="shared" si="75"/>
        <v>0</v>
      </c>
      <c r="Y151" s="6">
        <f t="shared" si="76"/>
        <v>0</v>
      </c>
      <c r="Z151" s="6">
        <f t="shared" si="56"/>
        <v>0</v>
      </c>
      <c r="AA151" s="6">
        <f t="shared" si="67"/>
        <v>0</v>
      </c>
      <c r="AB151" s="6">
        <f t="shared" si="68"/>
        <v>0</v>
      </c>
      <c r="AC151" s="6">
        <f t="shared" si="77"/>
        <v>0</v>
      </c>
    </row>
    <row r="152" spans="1:29" x14ac:dyDescent="0.25">
      <c r="A152">
        <v>138</v>
      </c>
      <c r="B152">
        <f t="shared" si="57"/>
        <v>138</v>
      </c>
      <c r="C152" s="200">
        <f t="shared" si="58"/>
        <v>11.5</v>
      </c>
      <c r="D152" s="6">
        <f t="shared" si="69"/>
        <v>0</v>
      </c>
      <c r="E152" s="6">
        <f t="shared" si="70"/>
        <v>0</v>
      </c>
      <c r="F152" s="6">
        <f t="shared" si="54"/>
        <v>0</v>
      </c>
      <c r="G152" s="6">
        <f t="shared" si="59"/>
        <v>0</v>
      </c>
      <c r="H152" s="6">
        <f t="shared" si="60"/>
        <v>0</v>
      </c>
      <c r="I152" s="6">
        <f t="shared" si="71"/>
        <v>0</v>
      </c>
      <c r="K152">
        <v>138</v>
      </c>
      <c r="L152">
        <f t="shared" si="61"/>
        <v>138</v>
      </c>
      <c r="M152" s="200">
        <f t="shared" si="62"/>
        <v>11.5</v>
      </c>
      <c r="N152" s="6">
        <f t="shared" si="72"/>
        <v>0</v>
      </c>
      <c r="O152" s="6">
        <f t="shared" si="73"/>
        <v>0</v>
      </c>
      <c r="P152" s="6">
        <f t="shared" si="55"/>
        <v>0</v>
      </c>
      <c r="Q152" s="6">
        <f t="shared" si="63"/>
        <v>0</v>
      </c>
      <c r="R152" s="6">
        <f t="shared" si="64"/>
        <v>0</v>
      </c>
      <c r="S152" s="6">
        <f t="shared" si="74"/>
        <v>0</v>
      </c>
      <c r="U152">
        <v>138</v>
      </c>
      <c r="V152">
        <f t="shared" si="65"/>
        <v>138</v>
      </c>
      <c r="W152" s="200">
        <f t="shared" si="66"/>
        <v>11.5</v>
      </c>
      <c r="X152" s="6">
        <f t="shared" si="75"/>
        <v>0</v>
      </c>
      <c r="Y152" s="6">
        <f t="shared" si="76"/>
        <v>0</v>
      </c>
      <c r="Z152" s="6">
        <f t="shared" si="56"/>
        <v>0</v>
      </c>
      <c r="AA152" s="6">
        <f t="shared" si="67"/>
        <v>0</v>
      </c>
      <c r="AB152" s="6">
        <f t="shared" si="68"/>
        <v>0</v>
      </c>
      <c r="AC152" s="6">
        <f t="shared" si="77"/>
        <v>0</v>
      </c>
    </row>
    <row r="153" spans="1:29" x14ac:dyDescent="0.25">
      <c r="A153">
        <v>139</v>
      </c>
      <c r="B153">
        <f t="shared" si="57"/>
        <v>139</v>
      </c>
      <c r="C153" s="200">
        <f t="shared" si="58"/>
        <v>11.583333333333334</v>
      </c>
      <c r="D153" s="6">
        <f t="shared" si="69"/>
        <v>0</v>
      </c>
      <c r="E153" s="6">
        <f t="shared" si="70"/>
        <v>0</v>
      </c>
      <c r="F153" s="6">
        <f t="shared" si="54"/>
        <v>0</v>
      </c>
      <c r="G153" s="6">
        <f t="shared" si="59"/>
        <v>0</v>
      </c>
      <c r="H153" s="6">
        <f t="shared" si="60"/>
        <v>0</v>
      </c>
      <c r="I153" s="6">
        <f t="shared" si="71"/>
        <v>0</v>
      </c>
      <c r="K153">
        <v>139</v>
      </c>
      <c r="L153">
        <f t="shared" si="61"/>
        <v>139</v>
      </c>
      <c r="M153" s="200">
        <f t="shared" si="62"/>
        <v>11.583333333333334</v>
      </c>
      <c r="N153" s="6">
        <f t="shared" si="72"/>
        <v>0</v>
      </c>
      <c r="O153" s="6">
        <f t="shared" si="73"/>
        <v>0</v>
      </c>
      <c r="P153" s="6">
        <f t="shared" si="55"/>
        <v>0</v>
      </c>
      <c r="Q153" s="6">
        <f t="shared" si="63"/>
        <v>0</v>
      </c>
      <c r="R153" s="6">
        <f t="shared" si="64"/>
        <v>0</v>
      </c>
      <c r="S153" s="6">
        <f t="shared" si="74"/>
        <v>0</v>
      </c>
      <c r="U153">
        <v>139</v>
      </c>
      <c r="V153">
        <f t="shared" si="65"/>
        <v>139</v>
      </c>
      <c r="W153" s="200">
        <f t="shared" si="66"/>
        <v>11.583333333333334</v>
      </c>
      <c r="X153" s="6">
        <f t="shared" si="75"/>
        <v>0</v>
      </c>
      <c r="Y153" s="6">
        <f t="shared" si="76"/>
        <v>0</v>
      </c>
      <c r="Z153" s="6">
        <f t="shared" si="56"/>
        <v>0</v>
      </c>
      <c r="AA153" s="6">
        <f t="shared" si="67"/>
        <v>0</v>
      </c>
      <c r="AB153" s="6">
        <f t="shared" si="68"/>
        <v>0</v>
      </c>
      <c r="AC153" s="6">
        <f t="shared" si="77"/>
        <v>0</v>
      </c>
    </row>
    <row r="154" spans="1:29" x14ac:dyDescent="0.25">
      <c r="A154">
        <v>140</v>
      </c>
      <c r="B154">
        <f t="shared" si="57"/>
        <v>140</v>
      </c>
      <c r="C154" s="200">
        <f t="shared" si="58"/>
        <v>11.666666666666666</v>
      </c>
      <c r="D154" s="6">
        <f t="shared" si="69"/>
        <v>0</v>
      </c>
      <c r="E154" s="6">
        <f t="shared" si="70"/>
        <v>0</v>
      </c>
      <c r="F154" s="6">
        <f t="shared" si="54"/>
        <v>0</v>
      </c>
      <c r="G154" s="6">
        <f t="shared" si="59"/>
        <v>0</v>
      </c>
      <c r="H154" s="6">
        <f t="shared" si="60"/>
        <v>0</v>
      </c>
      <c r="I154" s="6">
        <f t="shared" si="71"/>
        <v>0</v>
      </c>
      <c r="K154">
        <v>140</v>
      </c>
      <c r="L154">
        <f t="shared" si="61"/>
        <v>140</v>
      </c>
      <c r="M154" s="200">
        <f t="shared" si="62"/>
        <v>11.666666666666666</v>
      </c>
      <c r="N154" s="6">
        <f t="shared" si="72"/>
        <v>0</v>
      </c>
      <c r="O154" s="6">
        <f t="shared" si="73"/>
        <v>0</v>
      </c>
      <c r="P154" s="6">
        <f t="shared" si="55"/>
        <v>0</v>
      </c>
      <c r="Q154" s="6">
        <f t="shared" si="63"/>
        <v>0</v>
      </c>
      <c r="R154" s="6">
        <f t="shared" si="64"/>
        <v>0</v>
      </c>
      <c r="S154" s="6">
        <f t="shared" si="74"/>
        <v>0</v>
      </c>
      <c r="U154">
        <v>140</v>
      </c>
      <c r="V154">
        <f t="shared" si="65"/>
        <v>140</v>
      </c>
      <c r="W154" s="200">
        <f t="shared" si="66"/>
        <v>11.666666666666666</v>
      </c>
      <c r="X154" s="6">
        <f t="shared" si="75"/>
        <v>0</v>
      </c>
      <c r="Y154" s="6">
        <f t="shared" si="76"/>
        <v>0</v>
      </c>
      <c r="Z154" s="6">
        <f t="shared" si="56"/>
        <v>0</v>
      </c>
      <c r="AA154" s="6">
        <f t="shared" si="67"/>
        <v>0</v>
      </c>
      <c r="AB154" s="6">
        <f t="shared" si="68"/>
        <v>0</v>
      </c>
      <c r="AC154" s="6">
        <f t="shared" si="77"/>
        <v>0</v>
      </c>
    </row>
    <row r="155" spans="1:29" x14ac:dyDescent="0.25">
      <c r="A155">
        <v>141</v>
      </c>
      <c r="B155">
        <f t="shared" si="57"/>
        <v>141</v>
      </c>
      <c r="C155" s="200">
        <f t="shared" si="58"/>
        <v>11.75</v>
      </c>
      <c r="D155" s="6">
        <f t="shared" si="69"/>
        <v>0</v>
      </c>
      <c r="E155" s="6">
        <f t="shared" si="70"/>
        <v>0</v>
      </c>
      <c r="F155" s="6">
        <f t="shared" si="54"/>
        <v>0</v>
      </c>
      <c r="G155" s="6">
        <f t="shared" si="59"/>
        <v>0</v>
      </c>
      <c r="H155" s="6">
        <f t="shared" si="60"/>
        <v>0</v>
      </c>
      <c r="I155" s="6">
        <f t="shared" si="71"/>
        <v>0</v>
      </c>
      <c r="K155">
        <v>141</v>
      </c>
      <c r="L155">
        <f t="shared" si="61"/>
        <v>141</v>
      </c>
      <c r="M155" s="200">
        <f t="shared" si="62"/>
        <v>11.75</v>
      </c>
      <c r="N155" s="6">
        <f t="shared" si="72"/>
        <v>0</v>
      </c>
      <c r="O155" s="6">
        <f t="shared" si="73"/>
        <v>0</v>
      </c>
      <c r="P155" s="6">
        <f t="shared" si="55"/>
        <v>0</v>
      </c>
      <c r="Q155" s="6">
        <f t="shared" si="63"/>
        <v>0</v>
      </c>
      <c r="R155" s="6">
        <f t="shared" si="64"/>
        <v>0</v>
      </c>
      <c r="S155" s="6">
        <f t="shared" si="74"/>
        <v>0</v>
      </c>
      <c r="U155">
        <v>141</v>
      </c>
      <c r="V155">
        <f t="shared" si="65"/>
        <v>141</v>
      </c>
      <c r="W155" s="200">
        <f t="shared" si="66"/>
        <v>11.75</v>
      </c>
      <c r="X155" s="6">
        <f t="shared" si="75"/>
        <v>0</v>
      </c>
      <c r="Y155" s="6">
        <f t="shared" si="76"/>
        <v>0</v>
      </c>
      <c r="Z155" s="6">
        <f t="shared" si="56"/>
        <v>0</v>
      </c>
      <c r="AA155" s="6">
        <f t="shared" si="67"/>
        <v>0</v>
      </c>
      <c r="AB155" s="6">
        <f t="shared" si="68"/>
        <v>0</v>
      </c>
      <c r="AC155" s="6">
        <f t="shared" si="77"/>
        <v>0</v>
      </c>
    </row>
    <row r="156" spans="1:29" x14ac:dyDescent="0.25">
      <c r="A156">
        <v>142</v>
      </c>
      <c r="B156">
        <f t="shared" si="57"/>
        <v>142</v>
      </c>
      <c r="C156" s="200">
        <f t="shared" si="58"/>
        <v>11.833333333333334</v>
      </c>
      <c r="D156" s="6">
        <f t="shared" si="69"/>
        <v>0</v>
      </c>
      <c r="E156" s="6">
        <f t="shared" si="70"/>
        <v>0</v>
      </c>
      <c r="F156" s="6">
        <f t="shared" si="54"/>
        <v>0</v>
      </c>
      <c r="G156" s="6">
        <f t="shared" si="59"/>
        <v>0</v>
      </c>
      <c r="H156" s="6">
        <f t="shared" si="60"/>
        <v>0</v>
      </c>
      <c r="I156" s="6">
        <f t="shared" si="71"/>
        <v>0</v>
      </c>
      <c r="K156">
        <v>142</v>
      </c>
      <c r="L156">
        <f t="shared" si="61"/>
        <v>142</v>
      </c>
      <c r="M156" s="200">
        <f t="shared" si="62"/>
        <v>11.833333333333334</v>
      </c>
      <c r="N156" s="6">
        <f t="shared" si="72"/>
        <v>0</v>
      </c>
      <c r="O156" s="6">
        <f t="shared" si="73"/>
        <v>0</v>
      </c>
      <c r="P156" s="6">
        <f t="shared" si="55"/>
        <v>0</v>
      </c>
      <c r="Q156" s="6">
        <f t="shared" si="63"/>
        <v>0</v>
      </c>
      <c r="R156" s="6">
        <f t="shared" si="64"/>
        <v>0</v>
      </c>
      <c r="S156" s="6">
        <f t="shared" si="74"/>
        <v>0</v>
      </c>
      <c r="U156">
        <v>142</v>
      </c>
      <c r="V156">
        <f t="shared" si="65"/>
        <v>142</v>
      </c>
      <c r="W156" s="200">
        <f t="shared" si="66"/>
        <v>11.833333333333334</v>
      </c>
      <c r="X156" s="6">
        <f t="shared" si="75"/>
        <v>0</v>
      </c>
      <c r="Y156" s="6">
        <f t="shared" si="76"/>
        <v>0</v>
      </c>
      <c r="Z156" s="6">
        <f t="shared" si="56"/>
        <v>0</v>
      </c>
      <c r="AA156" s="6">
        <f t="shared" si="67"/>
        <v>0</v>
      </c>
      <c r="AB156" s="6">
        <f t="shared" si="68"/>
        <v>0</v>
      </c>
      <c r="AC156" s="6">
        <f t="shared" si="77"/>
        <v>0</v>
      </c>
    </row>
    <row r="157" spans="1:29" x14ac:dyDescent="0.25">
      <c r="A157">
        <v>143</v>
      </c>
      <c r="B157">
        <f t="shared" si="57"/>
        <v>143</v>
      </c>
      <c r="C157" s="200">
        <f t="shared" si="58"/>
        <v>11.916666666666666</v>
      </c>
      <c r="D157" s="6">
        <f t="shared" si="69"/>
        <v>0</v>
      </c>
      <c r="E157" s="6">
        <f t="shared" si="70"/>
        <v>0</v>
      </c>
      <c r="F157" s="6">
        <f t="shared" si="54"/>
        <v>0</v>
      </c>
      <c r="G157" s="6">
        <f t="shared" si="59"/>
        <v>0</v>
      </c>
      <c r="H157" s="6">
        <f t="shared" si="60"/>
        <v>0</v>
      </c>
      <c r="I157" s="6">
        <f t="shared" si="71"/>
        <v>0</v>
      </c>
      <c r="K157">
        <v>143</v>
      </c>
      <c r="L157">
        <f t="shared" si="61"/>
        <v>143</v>
      </c>
      <c r="M157" s="200">
        <f t="shared" si="62"/>
        <v>11.916666666666666</v>
      </c>
      <c r="N157" s="6">
        <f t="shared" si="72"/>
        <v>0</v>
      </c>
      <c r="O157" s="6">
        <f t="shared" si="73"/>
        <v>0</v>
      </c>
      <c r="P157" s="6">
        <f t="shared" si="55"/>
        <v>0</v>
      </c>
      <c r="Q157" s="6">
        <f t="shared" si="63"/>
        <v>0</v>
      </c>
      <c r="R157" s="6">
        <f t="shared" si="64"/>
        <v>0</v>
      </c>
      <c r="S157" s="6">
        <f t="shared" si="74"/>
        <v>0</v>
      </c>
      <c r="U157">
        <v>143</v>
      </c>
      <c r="V157">
        <f t="shared" si="65"/>
        <v>143</v>
      </c>
      <c r="W157" s="200">
        <f t="shared" si="66"/>
        <v>11.916666666666666</v>
      </c>
      <c r="X157" s="6">
        <f t="shared" si="75"/>
        <v>0</v>
      </c>
      <c r="Y157" s="6">
        <f t="shared" si="76"/>
        <v>0</v>
      </c>
      <c r="Z157" s="6">
        <f t="shared" si="56"/>
        <v>0</v>
      </c>
      <c r="AA157" s="6">
        <f t="shared" si="67"/>
        <v>0</v>
      </c>
      <c r="AB157" s="6">
        <f t="shared" si="68"/>
        <v>0</v>
      </c>
      <c r="AC157" s="6">
        <f t="shared" si="77"/>
        <v>0</v>
      </c>
    </row>
    <row r="158" spans="1:29" x14ac:dyDescent="0.25">
      <c r="A158">
        <v>144</v>
      </c>
      <c r="B158">
        <f t="shared" si="57"/>
        <v>144</v>
      </c>
      <c r="C158" s="200">
        <f t="shared" si="58"/>
        <v>12</v>
      </c>
      <c r="D158" s="6">
        <f t="shared" si="69"/>
        <v>0</v>
      </c>
      <c r="E158" s="6">
        <f t="shared" si="70"/>
        <v>0</v>
      </c>
      <c r="F158" s="6">
        <f t="shared" si="54"/>
        <v>0</v>
      </c>
      <c r="G158" s="6">
        <f t="shared" si="59"/>
        <v>0</v>
      </c>
      <c r="H158" s="6">
        <f t="shared" si="60"/>
        <v>0</v>
      </c>
      <c r="I158" s="6">
        <f t="shared" si="71"/>
        <v>0</v>
      </c>
      <c r="K158">
        <v>144</v>
      </c>
      <c r="L158">
        <f t="shared" si="61"/>
        <v>144</v>
      </c>
      <c r="M158" s="200">
        <f t="shared" si="62"/>
        <v>12</v>
      </c>
      <c r="N158" s="6">
        <f t="shared" si="72"/>
        <v>0</v>
      </c>
      <c r="O158" s="6">
        <f t="shared" si="73"/>
        <v>0</v>
      </c>
      <c r="P158" s="6">
        <f t="shared" si="55"/>
        <v>0</v>
      </c>
      <c r="Q158" s="6">
        <f t="shared" si="63"/>
        <v>0</v>
      </c>
      <c r="R158" s="6">
        <f t="shared" si="64"/>
        <v>0</v>
      </c>
      <c r="S158" s="6">
        <f t="shared" si="74"/>
        <v>0</v>
      </c>
      <c r="U158">
        <v>144</v>
      </c>
      <c r="V158">
        <f t="shared" si="65"/>
        <v>144</v>
      </c>
      <c r="W158" s="200">
        <f t="shared" si="66"/>
        <v>12</v>
      </c>
      <c r="X158" s="6">
        <f t="shared" si="75"/>
        <v>0</v>
      </c>
      <c r="Y158" s="6">
        <f t="shared" si="76"/>
        <v>0</v>
      </c>
      <c r="Z158" s="6">
        <f t="shared" si="56"/>
        <v>0</v>
      </c>
      <c r="AA158" s="6">
        <f t="shared" si="67"/>
        <v>0</v>
      </c>
      <c r="AB158" s="6">
        <f t="shared" si="68"/>
        <v>0</v>
      </c>
      <c r="AC158" s="6">
        <f t="shared" si="77"/>
        <v>0</v>
      </c>
    </row>
    <row r="159" spans="1:29" x14ac:dyDescent="0.25">
      <c r="A159">
        <v>145</v>
      </c>
      <c r="B159">
        <f t="shared" si="57"/>
        <v>145</v>
      </c>
      <c r="C159" s="200">
        <f t="shared" si="58"/>
        <v>12.083333333333334</v>
      </c>
      <c r="D159" s="6">
        <f t="shared" si="69"/>
        <v>0</v>
      </c>
      <c r="E159" s="6">
        <f t="shared" si="70"/>
        <v>0</v>
      </c>
      <c r="F159" s="6">
        <f t="shared" si="54"/>
        <v>0</v>
      </c>
      <c r="G159" s="6">
        <f t="shared" si="59"/>
        <v>0</v>
      </c>
      <c r="H159" s="6">
        <f t="shared" si="60"/>
        <v>0</v>
      </c>
      <c r="I159" s="6">
        <f t="shared" si="71"/>
        <v>0</v>
      </c>
      <c r="K159">
        <v>145</v>
      </c>
      <c r="L159">
        <f t="shared" si="61"/>
        <v>145</v>
      </c>
      <c r="M159" s="200">
        <f t="shared" si="62"/>
        <v>12.083333333333334</v>
      </c>
      <c r="N159" s="6">
        <f t="shared" si="72"/>
        <v>0</v>
      </c>
      <c r="O159" s="6">
        <f t="shared" si="73"/>
        <v>0</v>
      </c>
      <c r="P159" s="6">
        <f t="shared" si="55"/>
        <v>0</v>
      </c>
      <c r="Q159" s="6">
        <f t="shared" si="63"/>
        <v>0</v>
      </c>
      <c r="R159" s="6">
        <f t="shared" si="64"/>
        <v>0</v>
      </c>
      <c r="S159" s="6">
        <f t="shared" si="74"/>
        <v>0</v>
      </c>
      <c r="U159">
        <v>145</v>
      </c>
      <c r="V159">
        <f t="shared" si="65"/>
        <v>145</v>
      </c>
      <c r="W159" s="200">
        <f t="shared" si="66"/>
        <v>12.083333333333334</v>
      </c>
      <c r="X159" s="6">
        <f t="shared" si="75"/>
        <v>0</v>
      </c>
      <c r="Y159" s="6">
        <f t="shared" si="76"/>
        <v>0</v>
      </c>
      <c r="Z159" s="6">
        <f t="shared" si="56"/>
        <v>0</v>
      </c>
      <c r="AA159" s="6">
        <f t="shared" si="67"/>
        <v>0</v>
      </c>
      <c r="AB159" s="6">
        <f t="shared" si="68"/>
        <v>0</v>
      </c>
      <c r="AC159" s="6">
        <f t="shared" si="77"/>
        <v>0</v>
      </c>
    </row>
    <row r="160" spans="1:29" x14ac:dyDescent="0.25">
      <c r="A160">
        <v>146</v>
      </c>
      <c r="B160">
        <f t="shared" si="57"/>
        <v>146</v>
      </c>
      <c r="C160" s="200">
        <f t="shared" si="58"/>
        <v>12.166666666666666</v>
      </c>
      <c r="D160" s="6">
        <f t="shared" si="69"/>
        <v>0</v>
      </c>
      <c r="E160" s="6">
        <f t="shared" si="70"/>
        <v>0</v>
      </c>
      <c r="F160" s="6">
        <f t="shared" si="54"/>
        <v>0</v>
      </c>
      <c r="G160" s="6">
        <f t="shared" si="59"/>
        <v>0</v>
      </c>
      <c r="H160" s="6">
        <f t="shared" si="60"/>
        <v>0</v>
      </c>
      <c r="I160" s="6">
        <f t="shared" si="71"/>
        <v>0</v>
      </c>
      <c r="K160">
        <v>146</v>
      </c>
      <c r="L160">
        <f t="shared" si="61"/>
        <v>146</v>
      </c>
      <c r="M160" s="200">
        <f t="shared" si="62"/>
        <v>12.166666666666666</v>
      </c>
      <c r="N160" s="6">
        <f t="shared" si="72"/>
        <v>0</v>
      </c>
      <c r="O160" s="6">
        <f t="shared" si="73"/>
        <v>0</v>
      </c>
      <c r="P160" s="6">
        <f t="shared" si="55"/>
        <v>0</v>
      </c>
      <c r="Q160" s="6">
        <f t="shared" si="63"/>
        <v>0</v>
      </c>
      <c r="R160" s="6">
        <f t="shared" si="64"/>
        <v>0</v>
      </c>
      <c r="S160" s="6">
        <f t="shared" si="74"/>
        <v>0</v>
      </c>
      <c r="U160">
        <v>146</v>
      </c>
      <c r="V160">
        <f t="shared" si="65"/>
        <v>146</v>
      </c>
      <c r="W160" s="200">
        <f t="shared" si="66"/>
        <v>12.166666666666666</v>
      </c>
      <c r="X160" s="6">
        <f t="shared" si="75"/>
        <v>0</v>
      </c>
      <c r="Y160" s="6">
        <f t="shared" si="76"/>
        <v>0</v>
      </c>
      <c r="Z160" s="6">
        <f t="shared" si="56"/>
        <v>0</v>
      </c>
      <c r="AA160" s="6">
        <f t="shared" si="67"/>
        <v>0</v>
      </c>
      <c r="AB160" s="6">
        <f t="shared" si="68"/>
        <v>0</v>
      </c>
      <c r="AC160" s="6">
        <f t="shared" si="77"/>
        <v>0</v>
      </c>
    </row>
    <row r="161" spans="1:29" x14ac:dyDescent="0.25">
      <c r="A161">
        <v>147</v>
      </c>
      <c r="B161">
        <f t="shared" si="57"/>
        <v>147</v>
      </c>
      <c r="C161" s="200">
        <f t="shared" si="58"/>
        <v>12.25</v>
      </c>
      <c r="D161" s="6">
        <f t="shared" si="69"/>
        <v>0</v>
      </c>
      <c r="E161" s="6">
        <f t="shared" si="70"/>
        <v>0</v>
      </c>
      <c r="F161" s="6">
        <f t="shared" si="54"/>
        <v>0</v>
      </c>
      <c r="G161" s="6">
        <f t="shared" si="59"/>
        <v>0</v>
      </c>
      <c r="H161" s="6">
        <f t="shared" si="60"/>
        <v>0</v>
      </c>
      <c r="I161" s="6">
        <f t="shared" si="71"/>
        <v>0</v>
      </c>
      <c r="K161">
        <v>147</v>
      </c>
      <c r="L161">
        <f t="shared" si="61"/>
        <v>147</v>
      </c>
      <c r="M161" s="200">
        <f t="shared" si="62"/>
        <v>12.25</v>
      </c>
      <c r="N161" s="6">
        <f t="shared" si="72"/>
        <v>0</v>
      </c>
      <c r="O161" s="6">
        <f t="shared" si="73"/>
        <v>0</v>
      </c>
      <c r="P161" s="6">
        <f t="shared" si="55"/>
        <v>0</v>
      </c>
      <c r="Q161" s="6">
        <f t="shared" si="63"/>
        <v>0</v>
      </c>
      <c r="R161" s="6">
        <f t="shared" si="64"/>
        <v>0</v>
      </c>
      <c r="S161" s="6">
        <f t="shared" si="74"/>
        <v>0</v>
      </c>
      <c r="U161">
        <v>147</v>
      </c>
      <c r="V161">
        <f t="shared" si="65"/>
        <v>147</v>
      </c>
      <c r="W161" s="200">
        <f t="shared" si="66"/>
        <v>12.25</v>
      </c>
      <c r="X161" s="6">
        <f t="shared" si="75"/>
        <v>0</v>
      </c>
      <c r="Y161" s="6">
        <f t="shared" si="76"/>
        <v>0</v>
      </c>
      <c r="Z161" s="6">
        <f t="shared" si="56"/>
        <v>0</v>
      </c>
      <c r="AA161" s="6">
        <f t="shared" si="67"/>
        <v>0</v>
      </c>
      <c r="AB161" s="6">
        <f t="shared" si="68"/>
        <v>0</v>
      </c>
      <c r="AC161" s="6">
        <f t="shared" si="77"/>
        <v>0</v>
      </c>
    </row>
    <row r="162" spans="1:29" x14ac:dyDescent="0.25">
      <c r="A162">
        <v>148</v>
      </c>
      <c r="B162">
        <f t="shared" si="57"/>
        <v>148</v>
      </c>
      <c r="C162" s="200">
        <f t="shared" si="58"/>
        <v>12.333333333333334</v>
      </c>
      <c r="D162" s="6">
        <f t="shared" si="69"/>
        <v>0</v>
      </c>
      <c r="E162" s="6">
        <f t="shared" si="70"/>
        <v>0</v>
      </c>
      <c r="F162" s="6">
        <f t="shared" si="54"/>
        <v>0</v>
      </c>
      <c r="G162" s="6">
        <f t="shared" si="59"/>
        <v>0</v>
      </c>
      <c r="H162" s="6">
        <f t="shared" si="60"/>
        <v>0</v>
      </c>
      <c r="I162" s="6">
        <f t="shared" si="71"/>
        <v>0</v>
      </c>
      <c r="K162">
        <v>148</v>
      </c>
      <c r="L162">
        <f t="shared" si="61"/>
        <v>148</v>
      </c>
      <c r="M162" s="200">
        <f t="shared" si="62"/>
        <v>12.333333333333334</v>
      </c>
      <c r="N162" s="6">
        <f t="shared" si="72"/>
        <v>0</v>
      </c>
      <c r="O162" s="6">
        <f t="shared" si="73"/>
        <v>0</v>
      </c>
      <c r="P162" s="6">
        <f t="shared" si="55"/>
        <v>0</v>
      </c>
      <c r="Q162" s="6">
        <f t="shared" si="63"/>
        <v>0</v>
      </c>
      <c r="R162" s="6">
        <f t="shared" si="64"/>
        <v>0</v>
      </c>
      <c r="S162" s="6">
        <f t="shared" si="74"/>
        <v>0</v>
      </c>
      <c r="U162">
        <v>148</v>
      </c>
      <c r="V162">
        <f t="shared" si="65"/>
        <v>148</v>
      </c>
      <c r="W162" s="200">
        <f t="shared" si="66"/>
        <v>12.333333333333334</v>
      </c>
      <c r="X162" s="6">
        <f t="shared" si="75"/>
        <v>0</v>
      </c>
      <c r="Y162" s="6">
        <f t="shared" si="76"/>
        <v>0</v>
      </c>
      <c r="Z162" s="6">
        <f t="shared" si="56"/>
        <v>0</v>
      </c>
      <c r="AA162" s="6">
        <f t="shared" si="67"/>
        <v>0</v>
      </c>
      <c r="AB162" s="6">
        <f t="shared" si="68"/>
        <v>0</v>
      </c>
      <c r="AC162" s="6">
        <f t="shared" si="77"/>
        <v>0</v>
      </c>
    </row>
    <row r="163" spans="1:29" x14ac:dyDescent="0.25">
      <c r="A163">
        <v>149</v>
      </c>
      <c r="B163">
        <f t="shared" si="57"/>
        <v>149</v>
      </c>
      <c r="C163" s="200">
        <f t="shared" si="58"/>
        <v>12.416666666666666</v>
      </c>
      <c r="D163" s="6">
        <f t="shared" si="69"/>
        <v>0</v>
      </c>
      <c r="E163" s="6">
        <f t="shared" si="70"/>
        <v>0</v>
      </c>
      <c r="F163" s="6">
        <f t="shared" si="54"/>
        <v>0</v>
      </c>
      <c r="G163" s="6">
        <f t="shared" si="59"/>
        <v>0</v>
      </c>
      <c r="H163" s="6">
        <f t="shared" si="60"/>
        <v>0</v>
      </c>
      <c r="I163" s="6">
        <f t="shared" si="71"/>
        <v>0</v>
      </c>
      <c r="K163">
        <v>149</v>
      </c>
      <c r="L163">
        <f t="shared" si="61"/>
        <v>149</v>
      </c>
      <c r="M163" s="200">
        <f t="shared" si="62"/>
        <v>12.416666666666666</v>
      </c>
      <c r="N163" s="6">
        <f t="shared" si="72"/>
        <v>0</v>
      </c>
      <c r="O163" s="6">
        <f t="shared" si="73"/>
        <v>0</v>
      </c>
      <c r="P163" s="6">
        <f t="shared" si="55"/>
        <v>0</v>
      </c>
      <c r="Q163" s="6">
        <f t="shared" si="63"/>
        <v>0</v>
      </c>
      <c r="R163" s="6">
        <f t="shared" si="64"/>
        <v>0</v>
      </c>
      <c r="S163" s="6">
        <f t="shared" si="74"/>
        <v>0</v>
      </c>
      <c r="U163">
        <v>149</v>
      </c>
      <c r="V163">
        <f t="shared" si="65"/>
        <v>149</v>
      </c>
      <c r="W163" s="200">
        <f t="shared" si="66"/>
        <v>12.416666666666666</v>
      </c>
      <c r="X163" s="6">
        <f t="shared" si="75"/>
        <v>0</v>
      </c>
      <c r="Y163" s="6">
        <f t="shared" si="76"/>
        <v>0</v>
      </c>
      <c r="Z163" s="6">
        <f t="shared" si="56"/>
        <v>0</v>
      </c>
      <c r="AA163" s="6">
        <f t="shared" si="67"/>
        <v>0</v>
      </c>
      <c r="AB163" s="6">
        <f t="shared" si="68"/>
        <v>0</v>
      </c>
      <c r="AC163" s="6">
        <f t="shared" si="77"/>
        <v>0</v>
      </c>
    </row>
    <row r="164" spans="1:29" x14ac:dyDescent="0.25">
      <c r="A164">
        <v>150</v>
      </c>
      <c r="B164">
        <f t="shared" si="57"/>
        <v>150</v>
      </c>
      <c r="C164" s="200">
        <f t="shared" si="58"/>
        <v>12.5</v>
      </c>
      <c r="D164" s="6">
        <f t="shared" si="69"/>
        <v>0</v>
      </c>
      <c r="E164" s="6">
        <f t="shared" si="70"/>
        <v>0</v>
      </c>
      <c r="F164" s="6">
        <f t="shared" si="54"/>
        <v>0</v>
      </c>
      <c r="G164" s="6">
        <f t="shared" si="59"/>
        <v>0</v>
      </c>
      <c r="H164" s="6">
        <f t="shared" si="60"/>
        <v>0</v>
      </c>
      <c r="I164" s="6">
        <f t="shared" si="71"/>
        <v>0</v>
      </c>
      <c r="K164">
        <v>150</v>
      </c>
      <c r="L164">
        <f t="shared" si="61"/>
        <v>150</v>
      </c>
      <c r="M164" s="200">
        <f t="shared" si="62"/>
        <v>12.5</v>
      </c>
      <c r="N164" s="6">
        <f t="shared" si="72"/>
        <v>0</v>
      </c>
      <c r="O164" s="6">
        <f t="shared" si="73"/>
        <v>0</v>
      </c>
      <c r="P164" s="6">
        <f t="shared" si="55"/>
        <v>0</v>
      </c>
      <c r="Q164" s="6">
        <f t="shared" si="63"/>
        <v>0</v>
      </c>
      <c r="R164" s="6">
        <f t="shared" si="64"/>
        <v>0</v>
      </c>
      <c r="S164" s="6">
        <f t="shared" si="74"/>
        <v>0</v>
      </c>
      <c r="U164">
        <v>150</v>
      </c>
      <c r="V164">
        <f t="shared" si="65"/>
        <v>150</v>
      </c>
      <c r="W164" s="200">
        <f t="shared" si="66"/>
        <v>12.5</v>
      </c>
      <c r="X164" s="6">
        <f t="shared" si="75"/>
        <v>0</v>
      </c>
      <c r="Y164" s="6">
        <f t="shared" si="76"/>
        <v>0</v>
      </c>
      <c r="Z164" s="6">
        <f t="shared" si="56"/>
        <v>0</v>
      </c>
      <c r="AA164" s="6">
        <f t="shared" si="67"/>
        <v>0</v>
      </c>
      <c r="AB164" s="6">
        <f t="shared" si="68"/>
        <v>0</v>
      </c>
      <c r="AC164" s="6">
        <f t="shared" si="77"/>
        <v>0</v>
      </c>
    </row>
    <row r="165" spans="1:29" x14ac:dyDescent="0.25">
      <c r="A165">
        <v>151</v>
      </c>
      <c r="B165">
        <f t="shared" si="57"/>
        <v>151</v>
      </c>
      <c r="C165" s="200">
        <f t="shared" si="58"/>
        <v>12.583333333333334</v>
      </c>
      <c r="D165" s="6">
        <f t="shared" si="69"/>
        <v>0</v>
      </c>
      <c r="E165" s="6">
        <f t="shared" si="70"/>
        <v>0</v>
      </c>
      <c r="F165" s="6">
        <f t="shared" si="54"/>
        <v>0</v>
      </c>
      <c r="G165" s="6">
        <f t="shared" si="59"/>
        <v>0</v>
      </c>
      <c r="H165" s="6">
        <f t="shared" si="60"/>
        <v>0</v>
      </c>
      <c r="I165" s="6">
        <f t="shared" si="71"/>
        <v>0</v>
      </c>
      <c r="K165">
        <v>151</v>
      </c>
      <c r="L165">
        <f t="shared" si="61"/>
        <v>151</v>
      </c>
      <c r="M165" s="200">
        <f t="shared" si="62"/>
        <v>12.583333333333334</v>
      </c>
      <c r="N165" s="6">
        <f t="shared" si="72"/>
        <v>0</v>
      </c>
      <c r="O165" s="6">
        <f t="shared" si="73"/>
        <v>0</v>
      </c>
      <c r="P165" s="6">
        <f t="shared" si="55"/>
        <v>0</v>
      </c>
      <c r="Q165" s="6">
        <f t="shared" si="63"/>
        <v>0</v>
      </c>
      <c r="R165" s="6">
        <f t="shared" si="64"/>
        <v>0</v>
      </c>
      <c r="S165" s="6">
        <f t="shared" si="74"/>
        <v>0</v>
      </c>
      <c r="U165">
        <v>151</v>
      </c>
      <c r="V165">
        <f t="shared" si="65"/>
        <v>151</v>
      </c>
      <c r="W165" s="200">
        <f t="shared" si="66"/>
        <v>12.583333333333334</v>
      </c>
      <c r="X165" s="6">
        <f t="shared" si="75"/>
        <v>0</v>
      </c>
      <c r="Y165" s="6">
        <f t="shared" si="76"/>
        <v>0</v>
      </c>
      <c r="Z165" s="6">
        <f t="shared" si="56"/>
        <v>0</v>
      </c>
      <c r="AA165" s="6">
        <f t="shared" si="67"/>
        <v>0</v>
      </c>
      <c r="AB165" s="6">
        <f t="shared" si="68"/>
        <v>0</v>
      </c>
      <c r="AC165" s="6">
        <f t="shared" si="77"/>
        <v>0</v>
      </c>
    </row>
    <row r="166" spans="1:29" x14ac:dyDescent="0.25">
      <c r="A166">
        <v>152</v>
      </c>
      <c r="B166">
        <f t="shared" si="57"/>
        <v>152</v>
      </c>
      <c r="C166" s="200">
        <f t="shared" si="58"/>
        <v>12.666666666666666</v>
      </c>
      <c r="D166" s="6">
        <f t="shared" si="69"/>
        <v>0</v>
      </c>
      <c r="E166" s="6">
        <f t="shared" si="70"/>
        <v>0</v>
      </c>
      <c r="F166" s="6">
        <f t="shared" si="54"/>
        <v>0</v>
      </c>
      <c r="G166" s="6">
        <f t="shared" si="59"/>
        <v>0</v>
      </c>
      <c r="H166" s="6">
        <f t="shared" si="60"/>
        <v>0</v>
      </c>
      <c r="I166" s="6">
        <f t="shared" si="71"/>
        <v>0</v>
      </c>
      <c r="K166">
        <v>152</v>
      </c>
      <c r="L166">
        <f t="shared" si="61"/>
        <v>152</v>
      </c>
      <c r="M166" s="200">
        <f t="shared" si="62"/>
        <v>12.666666666666666</v>
      </c>
      <c r="N166" s="6">
        <f t="shared" si="72"/>
        <v>0</v>
      </c>
      <c r="O166" s="6">
        <f t="shared" si="73"/>
        <v>0</v>
      </c>
      <c r="P166" s="6">
        <f t="shared" si="55"/>
        <v>0</v>
      </c>
      <c r="Q166" s="6">
        <f t="shared" si="63"/>
        <v>0</v>
      </c>
      <c r="R166" s="6">
        <f t="shared" si="64"/>
        <v>0</v>
      </c>
      <c r="S166" s="6">
        <f t="shared" si="74"/>
        <v>0</v>
      </c>
      <c r="U166">
        <v>152</v>
      </c>
      <c r="V166">
        <f t="shared" si="65"/>
        <v>152</v>
      </c>
      <c r="W166" s="200">
        <f t="shared" si="66"/>
        <v>12.666666666666666</v>
      </c>
      <c r="X166" s="6">
        <f t="shared" si="75"/>
        <v>0</v>
      </c>
      <c r="Y166" s="6">
        <f t="shared" si="76"/>
        <v>0</v>
      </c>
      <c r="Z166" s="6">
        <f t="shared" si="56"/>
        <v>0</v>
      </c>
      <c r="AA166" s="6">
        <f t="shared" si="67"/>
        <v>0</v>
      </c>
      <c r="AB166" s="6">
        <f t="shared" si="68"/>
        <v>0</v>
      </c>
      <c r="AC166" s="6">
        <f t="shared" si="77"/>
        <v>0</v>
      </c>
    </row>
    <row r="167" spans="1:29" x14ac:dyDescent="0.25">
      <c r="A167">
        <v>153</v>
      </c>
      <c r="B167">
        <f t="shared" si="57"/>
        <v>153</v>
      </c>
      <c r="C167" s="200">
        <f t="shared" si="58"/>
        <v>12.75</v>
      </c>
      <c r="D167" s="6">
        <f t="shared" si="69"/>
        <v>0</v>
      </c>
      <c r="E167" s="6">
        <f t="shared" si="70"/>
        <v>0</v>
      </c>
      <c r="F167" s="6">
        <f t="shared" si="54"/>
        <v>0</v>
      </c>
      <c r="G167" s="6">
        <f t="shared" si="59"/>
        <v>0</v>
      </c>
      <c r="H167" s="6">
        <f t="shared" si="60"/>
        <v>0</v>
      </c>
      <c r="I167" s="6">
        <f t="shared" si="71"/>
        <v>0</v>
      </c>
      <c r="K167">
        <v>153</v>
      </c>
      <c r="L167">
        <f t="shared" si="61"/>
        <v>153</v>
      </c>
      <c r="M167" s="200">
        <f t="shared" si="62"/>
        <v>12.75</v>
      </c>
      <c r="N167" s="6">
        <f t="shared" si="72"/>
        <v>0</v>
      </c>
      <c r="O167" s="6">
        <f t="shared" si="73"/>
        <v>0</v>
      </c>
      <c r="P167" s="6">
        <f t="shared" si="55"/>
        <v>0</v>
      </c>
      <c r="Q167" s="6">
        <f t="shared" si="63"/>
        <v>0</v>
      </c>
      <c r="R167" s="6">
        <f t="shared" si="64"/>
        <v>0</v>
      </c>
      <c r="S167" s="6">
        <f t="shared" si="74"/>
        <v>0</v>
      </c>
      <c r="U167">
        <v>153</v>
      </c>
      <c r="V167">
        <f t="shared" si="65"/>
        <v>153</v>
      </c>
      <c r="W167" s="200">
        <f t="shared" si="66"/>
        <v>12.75</v>
      </c>
      <c r="X167" s="6">
        <f t="shared" si="75"/>
        <v>0</v>
      </c>
      <c r="Y167" s="6">
        <f t="shared" si="76"/>
        <v>0</v>
      </c>
      <c r="Z167" s="6">
        <f t="shared" si="56"/>
        <v>0</v>
      </c>
      <c r="AA167" s="6">
        <f t="shared" si="67"/>
        <v>0</v>
      </c>
      <c r="AB167" s="6">
        <f t="shared" si="68"/>
        <v>0</v>
      </c>
      <c r="AC167" s="6">
        <f t="shared" si="77"/>
        <v>0</v>
      </c>
    </row>
    <row r="168" spans="1:29" x14ac:dyDescent="0.25">
      <c r="A168">
        <v>154</v>
      </c>
      <c r="B168">
        <f t="shared" si="57"/>
        <v>154</v>
      </c>
      <c r="C168" s="200">
        <f t="shared" si="58"/>
        <v>12.833333333333334</v>
      </c>
      <c r="D168" s="6">
        <f t="shared" si="69"/>
        <v>0</v>
      </c>
      <c r="E168" s="6">
        <f t="shared" si="70"/>
        <v>0</v>
      </c>
      <c r="F168" s="6">
        <f t="shared" si="54"/>
        <v>0</v>
      </c>
      <c r="G168" s="6">
        <f t="shared" si="59"/>
        <v>0</v>
      </c>
      <c r="H168" s="6">
        <f t="shared" si="60"/>
        <v>0</v>
      </c>
      <c r="I168" s="6">
        <f t="shared" si="71"/>
        <v>0</v>
      </c>
      <c r="K168">
        <v>154</v>
      </c>
      <c r="L168">
        <f t="shared" si="61"/>
        <v>154</v>
      </c>
      <c r="M168" s="200">
        <f t="shared" si="62"/>
        <v>12.833333333333334</v>
      </c>
      <c r="N168" s="6">
        <f t="shared" si="72"/>
        <v>0</v>
      </c>
      <c r="O168" s="6">
        <f t="shared" si="73"/>
        <v>0</v>
      </c>
      <c r="P168" s="6">
        <f t="shared" si="55"/>
        <v>0</v>
      </c>
      <c r="Q168" s="6">
        <f t="shared" si="63"/>
        <v>0</v>
      </c>
      <c r="R168" s="6">
        <f t="shared" si="64"/>
        <v>0</v>
      </c>
      <c r="S168" s="6">
        <f t="shared" si="74"/>
        <v>0</v>
      </c>
      <c r="U168">
        <v>154</v>
      </c>
      <c r="V168">
        <f t="shared" si="65"/>
        <v>154</v>
      </c>
      <c r="W168" s="200">
        <f t="shared" si="66"/>
        <v>12.833333333333334</v>
      </c>
      <c r="X168" s="6">
        <f t="shared" si="75"/>
        <v>0</v>
      </c>
      <c r="Y168" s="6">
        <f t="shared" si="76"/>
        <v>0</v>
      </c>
      <c r="Z168" s="6">
        <f t="shared" si="56"/>
        <v>0</v>
      </c>
      <c r="AA168" s="6">
        <f t="shared" si="67"/>
        <v>0</v>
      </c>
      <c r="AB168" s="6">
        <f t="shared" si="68"/>
        <v>0</v>
      </c>
      <c r="AC168" s="6">
        <f t="shared" si="77"/>
        <v>0</v>
      </c>
    </row>
    <row r="169" spans="1:29" x14ac:dyDescent="0.25">
      <c r="A169">
        <v>155</v>
      </c>
      <c r="B169">
        <f t="shared" si="57"/>
        <v>155</v>
      </c>
      <c r="C169" s="200">
        <f t="shared" si="58"/>
        <v>12.916666666666666</v>
      </c>
      <c r="D169" s="6">
        <f t="shared" si="69"/>
        <v>0</v>
      </c>
      <c r="E169" s="6">
        <f t="shared" si="70"/>
        <v>0</v>
      </c>
      <c r="F169" s="6">
        <f t="shared" si="54"/>
        <v>0</v>
      </c>
      <c r="G169" s="6">
        <f t="shared" si="59"/>
        <v>0</v>
      </c>
      <c r="H169" s="6">
        <f t="shared" si="60"/>
        <v>0</v>
      </c>
      <c r="I169" s="6">
        <f t="shared" si="71"/>
        <v>0</v>
      </c>
      <c r="K169">
        <v>155</v>
      </c>
      <c r="L169">
        <f t="shared" si="61"/>
        <v>155</v>
      </c>
      <c r="M169" s="200">
        <f t="shared" si="62"/>
        <v>12.916666666666666</v>
      </c>
      <c r="N169" s="6">
        <f t="shared" si="72"/>
        <v>0</v>
      </c>
      <c r="O169" s="6">
        <f t="shared" si="73"/>
        <v>0</v>
      </c>
      <c r="P169" s="6">
        <f t="shared" si="55"/>
        <v>0</v>
      </c>
      <c r="Q169" s="6">
        <f t="shared" si="63"/>
        <v>0</v>
      </c>
      <c r="R169" s="6">
        <f t="shared" si="64"/>
        <v>0</v>
      </c>
      <c r="S169" s="6">
        <f t="shared" si="74"/>
        <v>0</v>
      </c>
      <c r="U169">
        <v>155</v>
      </c>
      <c r="V169">
        <f t="shared" si="65"/>
        <v>155</v>
      </c>
      <c r="W169" s="200">
        <f t="shared" si="66"/>
        <v>12.916666666666666</v>
      </c>
      <c r="X169" s="6">
        <f t="shared" si="75"/>
        <v>0</v>
      </c>
      <c r="Y169" s="6">
        <f t="shared" si="76"/>
        <v>0</v>
      </c>
      <c r="Z169" s="6">
        <f t="shared" si="56"/>
        <v>0</v>
      </c>
      <c r="AA169" s="6">
        <f t="shared" si="67"/>
        <v>0</v>
      </c>
      <c r="AB169" s="6">
        <f t="shared" si="68"/>
        <v>0</v>
      </c>
      <c r="AC169" s="6">
        <f t="shared" si="77"/>
        <v>0</v>
      </c>
    </row>
    <row r="170" spans="1:29" x14ac:dyDescent="0.25">
      <c r="A170">
        <v>156</v>
      </c>
      <c r="B170">
        <f t="shared" si="57"/>
        <v>156</v>
      </c>
      <c r="C170" s="200">
        <f t="shared" si="58"/>
        <v>13</v>
      </c>
      <c r="D170" s="6">
        <f t="shared" si="69"/>
        <v>0</v>
      </c>
      <c r="E170" s="6">
        <f t="shared" si="70"/>
        <v>0</v>
      </c>
      <c r="F170" s="6">
        <f t="shared" si="54"/>
        <v>0</v>
      </c>
      <c r="G170" s="6">
        <f t="shared" si="59"/>
        <v>0</v>
      </c>
      <c r="H170" s="6">
        <f t="shared" si="60"/>
        <v>0</v>
      </c>
      <c r="I170" s="6">
        <f t="shared" si="71"/>
        <v>0</v>
      </c>
      <c r="K170">
        <v>156</v>
      </c>
      <c r="L170">
        <f t="shared" si="61"/>
        <v>156</v>
      </c>
      <c r="M170" s="200">
        <f t="shared" si="62"/>
        <v>13</v>
      </c>
      <c r="N170" s="6">
        <f t="shared" si="72"/>
        <v>0</v>
      </c>
      <c r="O170" s="6">
        <f t="shared" si="73"/>
        <v>0</v>
      </c>
      <c r="P170" s="6">
        <f t="shared" si="55"/>
        <v>0</v>
      </c>
      <c r="Q170" s="6">
        <f t="shared" si="63"/>
        <v>0</v>
      </c>
      <c r="R170" s="6">
        <f t="shared" si="64"/>
        <v>0</v>
      </c>
      <c r="S170" s="6">
        <f t="shared" si="74"/>
        <v>0</v>
      </c>
      <c r="U170">
        <v>156</v>
      </c>
      <c r="V170">
        <f t="shared" si="65"/>
        <v>156</v>
      </c>
      <c r="W170" s="200">
        <f t="shared" si="66"/>
        <v>13</v>
      </c>
      <c r="X170" s="6">
        <f t="shared" si="75"/>
        <v>0</v>
      </c>
      <c r="Y170" s="6">
        <f t="shared" si="76"/>
        <v>0</v>
      </c>
      <c r="Z170" s="6">
        <f t="shared" si="56"/>
        <v>0</v>
      </c>
      <c r="AA170" s="6">
        <f t="shared" si="67"/>
        <v>0</v>
      </c>
      <c r="AB170" s="6">
        <f t="shared" si="68"/>
        <v>0</v>
      </c>
      <c r="AC170" s="6">
        <f t="shared" si="77"/>
        <v>0</v>
      </c>
    </row>
    <row r="171" spans="1:29" x14ac:dyDescent="0.25">
      <c r="A171">
        <v>157</v>
      </c>
      <c r="B171">
        <f t="shared" si="57"/>
        <v>157</v>
      </c>
      <c r="C171" s="200">
        <f t="shared" si="58"/>
        <v>13.083333333333334</v>
      </c>
      <c r="D171" s="6">
        <f t="shared" si="69"/>
        <v>0</v>
      </c>
      <c r="E171" s="6">
        <f t="shared" si="70"/>
        <v>0</v>
      </c>
      <c r="F171" s="6">
        <f t="shared" si="54"/>
        <v>0</v>
      </c>
      <c r="G171" s="6">
        <f t="shared" si="59"/>
        <v>0</v>
      </c>
      <c r="H171" s="6">
        <f t="shared" si="60"/>
        <v>0</v>
      </c>
      <c r="I171" s="6">
        <f t="shared" si="71"/>
        <v>0</v>
      </c>
      <c r="K171">
        <v>157</v>
      </c>
      <c r="L171">
        <f t="shared" si="61"/>
        <v>157</v>
      </c>
      <c r="M171" s="200">
        <f t="shared" si="62"/>
        <v>13.083333333333334</v>
      </c>
      <c r="N171" s="6">
        <f t="shared" si="72"/>
        <v>0</v>
      </c>
      <c r="O171" s="6">
        <f t="shared" si="73"/>
        <v>0</v>
      </c>
      <c r="P171" s="6">
        <f t="shared" si="55"/>
        <v>0</v>
      </c>
      <c r="Q171" s="6">
        <f t="shared" si="63"/>
        <v>0</v>
      </c>
      <c r="R171" s="6">
        <f t="shared" si="64"/>
        <v>0</v>
      </c>
      <c r="S171" s="6">
        <f t="shared" si="74"/>
        <v>0</v>
      </c>
      <c r="U171">
        <v>157</v>
      </c>
      <c r="V171">
        <f t="shared" si="65"/>
        <v>157</v>
      </c>
      <c r="W171" s="200">
        <f t="shared" si="66"/>
        <v>13.083333333333334</v>
      </c>
      <c r="X171" s="6">
        <f t="shared" si="75"/>
        <v>0</v>
      </c>
      <c r="Y171" s="6">
        <f t="shared" si="76"/>
        <v>0</v>
      </c>
      <c r="Z171" s="6">
        <f t="shared" si="56"/>
        <v>0</v>
      </c>
      <c r="AA171" s="6">
        <f t="shared" si="67"/>
        <v>0</v>
      </c>
      <c r="AB171" s="6">
        <f t="shared" si="68"/>
        <v>0</v>
      </c>
      <c r="AC171" s="6">
        <f t="shared" si="77"/>
        <v>0</v>
      </c>
    </row>
    <row r="172" spans="1:29" x14ac:dyDescent="0.25">
      <c r="A172">
        <v>158</v>
      </c>
      <c r="B172">
        <f t="shared" si="57"/>
        <v>158</v>
      </c>
      <c r="C172" s="200">
        <f t="shared" si="58"/>
        <v>13.166666666666666</v>
      </c>
      <c r="D172" s="6">
        <f t="shared" si="69"/>
        <v>0</v>
      </c>
      <c r="E172" s="6">
        <f t="shared" si="70"/>
        <v>0</v>
      </c>
      <c r="F172" s="6">
        <f t="shared" si="54"/>
        <v>0</v>
      </c>
      <c r="G172" s="6">
        <f t="shared" si="59"/>
        <v>0</v>
      </c>
      <c r="H172" s="6">
        <f t="shared" si="60"/>
        <v>0</v>
      </c>
      <c r="I172" s="6">
        <f t="shared" si="71"/>
        <v>0</v>
      </c>
      <c r="K172">
        <v>158</v>
      </c>
      <c r="L172">
        <f t="shared" si="61"/>
        <v>158</v>
      </c>
      <c r="M172" s="200">
        <f t="shared" si="62"/>
        <v>13.166666666666666</v>
      </c>
      <c r="N172" s="6">
        <f t="shared" si="72"/>
        <v>0</v>
      </c>
      <c r="O172" s="6">
        <f t="shared" si="73"/>
        <v>0</v>
      </c>
      <c r="P172" s="6">
        <f t="shared" si="55"/>
        <v>0</v>
      </c>
      <c r="Q172" s="6">
        <f t="shared" si="63"/>
        <v>0</v>
      </c>
      <c r="R172" s="6">
        <f t="shared" si="64"/>
        <v>0</v>
      </c>
      <c r="S172" s="6">
        <f t="shared" si="74"/>
        <v>0</v>
      </c>
      <c r="U172">
        <v>158</v>
      </c>
      <c r="V172">
        <f t="shared" si="65"/>
        <v>158</v>
      </c>
      <c r="W172" s="200">
        <f t="shared" si="66"/>
        <v>13.166666666666666</v>
      </c>
      <c r="X172" s="6">
        <f t="shared" si="75"/>
        <v>0</v>
      </c>
      <c r="Y172" s="6">
        <f t="shared" si="76"/>
        <v>0</v>
      </c>
      <c r="Z172" s="6">
        <f t="shared" si="56"/>
        <v>0</v>
      </c>
      <c r="AA172" s="6">
        <f t="shared" si="67"/>
        <v>0</v>
      </c>
      <c r="AB172" s="6">
        <f t="shared" si="68"/>
        <v>0</v>
      </c>
      <c r="AC172" s="6">
        <f t="shared" si="77"/>
        <v>0</v>
      </c>
    </row>
    <row r="173" spans="1:29" x14ac:dyDescent="0.25">
      <c r="A173">
        <v>159</v>
      </c>
      <c r="B173">
        <f t="shared" si="57"/>
        <v>159</v>
      </c>
      <c r="C173" s="200">
        <f t="shared" si="58"/>
        <v>13.25</v>
      </c>
      <c r="D173" s="6">
        <f t="shared" si="69"/>
        <v>0</v>
      </c>
      <c r="E173" s="6">
        <f t="shared" si="70"/>
        <v>0</v>
      </c>
      <c r="F173" s="6">
        <f t="shared" si="54"/>
        <v>0</v>
      </c>
      <c r="G173" s="6">
        <f t="shared" si="59"/>
        <v>0</v>
      </c>
      <c r="H173" s="6">
        <f t="shared" si="60"/>
        <v>0</v>
      </c>
      <c r="I173" s="6">
        <f t="shared" si="71"/>
        <v>0</v>
      </c>
      <c r="K173">
        <v>159</v>
      </c>
      <c r="L173">
        <f t="shared" si="61"/>
        <v>159</v>
      </c>
      <c r="M173" s="200">
        <f t="shared" si="62"/>
        <v>13.25</v>
      </c>
      <c r="N173" s="6">
        <f t="shared" si="72"/>
        <v>0</v>
      </c>
      <c r="O173" s="6">
        <f t="shared" si="73"/>
        <v>0</v>
      </c>
      <c r="P173" s="6">
        <f t="shared" si="55"/>
        <v>0</v>
      </c>
      <c r="Q173" s="6">
        <f t="shared" si="63"/>
        <v>0</v>
      </c>
      <c r="R173" s="6">
        <f t="shared" si="64"/>
        <v>0</v>
      </c>
      <c r="S173" s="6">
        <f t="shared" si="74"/>
        <v>0</v>
      </c>
      <c r="U173">
        <v>159</v>
      </c>
      <c r="V173">
        <f t="shared" si="65"/>
        <v>159</v>
      </c>
      <c r="W173" s="200">
        <f t="shared" si="66"/>
        <v>13.25</v>
      </c>
      <c r="X173" s="6">
        <f t="shared" si="75"/>
        <v>0</v>
      </c>
      <c r="Y173" s="6">
        <f t="shared" si="76"/>
        <v>0</v>
      </c>
      <c r="Z173" s="6">
        <f t="shared" si="56"/>
        <v>0</v>
      </c>
      <c r="AA173" s="6">
        <f t="shared" si="67"/>
        <v>0</v>
      </c>
      <c r="AB173" s="6">
        <f t="shared" si="68"/>
        <v>0</v>
      </c>
      <c r="AC173" s="6">
        <f t="shared" si="77"/>
        <v>0</v>
      </c>
    </row>
    <row r="174" spans="1:29" x14ac:dyDescent="0.25">
      <c r="A174">
        <v>160</v>
      </c>
      <c r="B174">
        <f t="shared" si="57"/>
        <v>160</v>
      </c>
      <c r="C174" s="200">
        <f t="shared" si="58"/>
        <v>13.333333333333334</v>
      </c>
      <c r="D174" s="6">
        <f t="shared" si="69"/>
        <v>0</v>
      </c>
      <c r="E174" s="6">
        <f t="shared" si="70"/>
        <v>0</v>
      </c>
      <c r="F174" s="6">
        <f t="shared" si="54"/>
        <v>0</v>
      </c>
      <c r="G174" s="6">
        <f t="shared" si="59"/>
        <v>0</v>
      </c>
      <c r="H174" s="6">
        <f t="shared" si="60"/>
        <v>0</v>
      </c>
      <c r="I174" s="6">
        <f t="shared" si="71"/>
        <v>0</v>
      </c>
      <c r="K174">
        <v>160</v>
      </c>
      <c r="L174">
        <f t="shared" si="61"/>
        <v>160</v>
      </c>
      <c r="M174" s="200">
        <f t="shared" si="62"/>
        <v>13.333333333333334</v>
      </c>
      <c r="N174" s="6">
        <f t="shared" si="72"/>
        <v>0</v>
      </c>
      <c r="O174" s="6">
        <f t="shared" si="73"/>
        <v>0</v>
      </c>
      <c r="P174" s="6">
        <f t="shared" si="55"/>
        <v>0</v>
      </c>
      <c r="Q174" s="6">
        <f t="shared" si="63"/>
        <v>0</v>
      </c>
      <c r="R174" s="6">
        <f t="shared" si="64"/>
        <v>0</v>
      </c>
      <c r="S174" s="6">
        <f t="shared" si="74"/>
        <v>0</v>
      </c>
      <c r="U174">
        <v>160</v>
      </c>
      <c r="V174">
        <f t="shared" si="65"/>
        <v>160</v>
      </c>
      <c r="W174" s="200">
        <f t="shared" si="66"/>
        <v>13.333333333333334</v>
      </c>
      <c r="X174" s="6">
        <f t="shared" si="75"/>
        <v>0</v>
      </c>
      <c r="Y174" s="6">
        <f t="shared" si="76"/>
        <v>0</v>
      </c>
      <c r="Z174" s="6">
        <f t="shared" si="56"/>
        <v>0</v>
      </c>
      <c r="AA174" s="6">
        <f t="shared" si="67"/>
        <v>0</v>
      </c>
      <c r="AB174" s="6">
        <f t="shared" si="68"/>
        <v>0</v>
      </c>
      <c r="AC174" s="6">
        <f t="shared" si="77"/>
        <v>0</v>
      </c>
    </row>
    <row r="175" spans="1:29" x14ac:dyDescent="0.25">
      <c r="A175">
        <v>161</v>
      </c>
      <c r="B175">
        <f t="shared" si="57"/>
        <v>161</v>
      </c>
      <c r="C175" s="200">
        <f t="shared" si="58"/>
        <v>13.416666666666666</v>
      </c>
      <c r="D175" s="6">
        <f t="shared" si="69"/>
        <v>0</v>
      </c>
      <c r="E175" s="6">
        <f t="shared" si="70"/>
        <v>0</v>
      </c>
      <c r="F175" s="6">
        <f t="shared" ref="F175:F194" si="78">IF(B$10&gt;=A175,0,E175-G175)</f>
        <v>0</v>
      </c>
      <c r="G175" s="6">
        <f t="shared" si="59"/>
        <v>0</v>
      </c>
      <c r="H175" s="6">
        <f t="shared" si="60"/>
        <v>0</v>
      </c>
      <c r="I175" s="6">
        <f t="shared" si="71"/>
        <v>0</v>
      </c>
      <c r="K175">
        <v>161</v>
      </c>
      <c r="L175">
        <f t="shared" si="61"/>
        <v>161</v>
      </c>
      <c r="M175" s="200">
        <f t="shared" si="62"/>
        <v>13.416666666666666</v>
      </c>
      <c r="N175" s="6">
        <f t="shared" si="72"/>
        <v>0</v>
      </c>
      <c r="O175" s="6">
        <f t="shared" si="73"/>
        <v>0</v>
      </c>
      <c r="P175" s="6">
        <f t="shared" ref="P175:P194" si="79">IF(L$10&gt;=K175,0,O175-Q175)</f>
        <v>0</v>
      </c>
      <c r="Q175" s="6">
        <f t="shared" si="63"/>
        <v>0</v>
      </c>
      <c r="R175" s="6">
        <f t="shared" si="64"/>
        <v>0</v>
      </c>
      <c r="S175" s="6">
        <f t="shared" si="74"/>
        <v>0</v>
      </c>
      <c r="U175">
        <v>161</v>
      </c>
      <c r="V175">
        <f t="shared" si="65"/>
        <v>161</v>
      </c>
      <c r="W175" s="200">
        <f t="shared" si="66"/>
        <v>13.416666666666666</v>
      </c>
      <c r="X175" s="6">
        <f t="shared" si="75"/>
        <v>0</v>
      </c>
      <c r="Y175" s="6">
        <f t="shared" si="76"/>
        <v>0</v>
      </c>
      <c r="Z175" s="6">
        <f t="shared" ref="Z175:Z194" si="80">IF(V$10&gt;=U175,0,Y175-AA175)</f>
        <v>0</v>
      </c>
      <c r="AA175" s="6">
        <f t="shared" si="67"/>
        <v>0</v>
      </c>
      <c r="AB175" s="6">
        <f t="shared" si="68"/>
        <v>0</v>
      </c>
      <c r="AC175" s="6">
        <f t="shared" si="77"/>
        <v>0</v>
      </c>
    </row>
    <row r="176" spans="1:29" x14ac:dyDescent="0.25">
      <c r="A176">
        <v>162</v>
      </c>
      <c r="B176">
        <f t="shared" si="57"/>
        <v>162</v>
      </c>
      <c r="C176" s="200">
        <f t="shared" si="58"/>
        <v>13.5</v>
      </c>
      <c r="D176" s="6">
        <f t="shared" si="69"/>
        <v>0</v>
      </c>
      <c r="E176" s="6">
        <f t="shared" si="70"/>
        <v>0</v>
      </c>
      <c r="F176" s="6">
        <f t="shared" si="78"/>
        <v>0</v>
      </c>
      <c r="G176" s="6">
        <f t="shared" si="59"/>
        <v>0</v>
      </c>
      <c r="H176" s="6">
        <f t="shared" si="60"/>
        <v>0</v>
      </c>
      <c r="I176" s="6">
        <f t="shared" si="71"/>
        <v>0</v>
      </c>
      <c r="K176">
        <v>162</v>
      </c>
      <c r="L176">
        <f t="shared" si="61"/>
        <v>162</v>
      </c>
      <c r="M176" s="200">
        <f t="shared" si="62"/>
        <v>13.5</v>
      </c>
      <c r="N176" s="6">
        <f t="shared" si="72"/>
        <v>0</v>
      </c>
      <c r="O176" s="6">
        <f t="shared" si="73"/>
        <v>0</v>
      </c>
      <c r="P176" s="6">
        <f t="shared" si="79"/>
        <v>0</v>
      </c>
      <c r="Q176" s="6">
        <f t="shared" si="63"/>
        <v>0</v>
      </c>
      <c r="R176" s="6">
        <f t="shared" si="64"/>
        <v>0</v>
      </c>
      <c r="S176" s="6">
        <f t="shared" si="74"/>
        <v>0</v>
      </c>
      <c r="U176">
        <v>162</v>
      </c>
      <c r="V176">
        <f t="shared" si="65"/>
        <v>162</v>
      </c>
      <c r="W176" s="200">
        <f t="shared" si="66"/>
        <v>13.5</v>
      </c>
      <c r="X176" s="6">
        <f t="shared" si="75"/>
        <v>0</v>
      </c>
      <c r="Y176" s="6">
        <f t="shared" si="76"/>
        <v>0</v>
      </c>
      <c r="Z176" s="6">
        <f t="shared" si="80"/>
        <v>0</v>
      </c>
      <c r="AA176" s="6">
        <f t="shared" si="67"/>
        <v>0</v>
      </c>
      <c r="AB176" s="6">
        <f t="shared" si="68"/>
        <v>0</v>
      </c>
      <c r="AC176" s="6">
        <f t="shared" si="77"/>
        <v>0</v>
      </c>
    </row>
    <row r="177" spans="1:29" x14ac:dyDescent="0.25">
      <c r="A177">
        <v>163</v>
      </c>
      <c r="B177">
        <f t="shared" si="57"/>
        <v>163</v>
      </c>
      <c r="C177" s="200">
        <f t="shared" si="58"/>
        <v>13.583333333333334</v>
      </c>
      <c r="D177" s="6">
        <f t="shared" si="69"/>
        <v>0</v>
      </c>
      <c r="E177" s="6">
        <f t="shared" si="70"/>
        <v>0</v>
      </c>
      <c r="F177" s="6">
        <f t="shared" si="78"/>
        <v>0</v>
      </c>
      <c r="G177" s="6">
        <f t="shared" si="59"/>
        <v>0</v>
      </c>
      <c r="H177" s="6">
        <f t="shared" si="60"/>
        <v>0</v>
      </c>
      <c r="I177" s="6">
        <f t="shared" si="71"/>
        <v>0</v>
      </c>
      <c r="K177">
        <v>163</v>
      </c>
      <c r="L177">
        <f t="shared" si="61"/>
        <v>163</v>
      </c>
      <c r="M177" s="200">
        <f t="shared" si="62"/>
        <v>13.583333333333334</v>
      </c>
      <c r="N177" s="6">
        <f t="shared" si="72"/>
        <v>0</v>
      </c>
      <c r="O177" s="6">
        <f t="shared" si="73"/>
        <v>0</v>
      </c>
      <c r="P177" s="6">
        <f t="shared" si="79"/>
        <v>0</v>
      </c>
      <c r="Q177" s="6">
        <f t="shared" si="63"/>
        <v>0</v>
      </c>
      <c r="R177" s="6">
        <f t="shared" si="64"/>
        <v>0</v>
      </c>
      <c r="S177" s="6">
        <f t="shared" si="74"/>
        <v>0</v>
      </c>
      <c r="U177">
        <v>163</v>
      </c>
      <c r="V177">
        <f t="shared" si="65"/>
        <v>163</v>
      </c>
      <c r="W177" s="200">
        <f t="shared" si="66"/>
        <v>13.583333333333334</v>
      </c>
      <c r="X177" s="6">
        <f t="shared" si="75"/>
        <v>0</v>
      </c>
      <c r="Y177" s="6">
        <f t="shared" si="76"/>
        <v>0</v>
      </c>
      <c r="Z177" s="6">
        <f t="shared" si="80"/>
        <v>0</v>
      </c>
      <c r="AA177" s="6">
        <f t="shared" si="67"/>
        <v>0</v>
      </c>
      <c r="AB177" s="6">
        <f t="shared" si="68"/>
        <v>0</v>
      </c>
      <c r="AC177" s="6">
        <f t="shared" si="77"/>
        <v>0</v>
      </c>
    </row>
    <row r="178" spans="1:29" x14ac:dyDescent="0.25">
      <c r="A178">
        <v>164</v>
      </c>
      <c r="B178">
        <f t="shared" si="57"/>
        <v>164</v>
      </c>
      <c r="C178" s="200">
        <f t="shared" si="58"/>
        <v>13.666666666666666</v>
      </c>
      <c r="D178" s="6">
        <f t="shared" si="69"/>
        <v>0</v>
      </c>
      <c r="E178" s="6">
        <f t="shared" si="70"/>
        <v>0</v>
      </c>
      <c r="F178" s="6">
        <f t="shared" si="78"/>
        <v>0</v>
      </c>
      <c r="G178" s="6">
        <f t="shared" si="59"/>
        <v>0</v>
      </c>
      <c r="H178" s="6">
        <f t="shared" si="60"/>
        <v>0</v>
      </c>
      <c r="I178" s="6">
        <f t="shared" si="71"/>
        <v>0</v>
      </c>
      <c r="K178">
        <v>164</v>
      </c>
      <c r="L178">
        <f t="shared" si="61"/>
        <v>164</v>
      </c>
      <c r="M178" s="200">
        <f t="shared" si="62"/>
        <v>13.666666666666666</v>
      </c>
      <c r="N178" s="6">
        <f t="shared" si="72"/>
        <v>0</v>
      </c>
      <c r="O178" s="6">
        <f t="shared" si="73"/>
        <v>0</v>
      </c>
      <c r="P178" s="6">
        <f t="shared" si="79"/>
        <v>0</v>
      </c>
      <c r="Q178" s="6">
        <f t="shared" si="63"/>
        <v>0</v>
      </c>
      <c r="R178" s="6">
        <f t="shared" si="64"/>
        <v>0</v>
      </c>
      <c r="S178" s="6">
        <f t="shared" si="74"/>
        <v>0</v>
      </c>
      <c r="U178">
        <v>164</v>
      </c>
      <c r="V178">
        <f t="shared" si="65"/>
        <v>164</v>
      </c>
      <c r="W178" s="200">
        <f t="shared" si="66"/>
        <v>13.666666666666666</v>
      </c>
      <c r="X178" s="6">
        <f t="shared" si="75"/>
        <v>0</v>
      </c>
      <c r="Y178" s="6">
        <f t="shared" si="76"/>
        <v>0</v>
      </c>
      <c r="Z178" s="6">
        <f t="shared" si="80"/>
        <v>0</v>
      </c>
      <c r="AA178" s="6">
        <f t="shared" si="67"/>
        <v>0</v>
      </c>
      <c r="AB178" s="6">
        <f t="shared" si="68"/>
        <v>0</v>
      </c>
      <c r="AC178" s="6">
        <f t="shared" si="77"/>
        <v>0</v>
      </c>
    </row>
    <row r="179" spans="1:29" x14ac:dyDescent="0.25">
      <c r="A179">
        <v>165</v>
      </c>
      <c r="B179">
        <f t="shared" si="57"/>
        <v>165</v>
      </c>
      <c r="C179" s="200">
        <f t="shared" si="58"/>
        <v>13.75</v>
      </c>
      <c r="D179" s="6">
        <f t="shared" si="69"/>
        <v>0</v>
      </c>
      <c r="E179" s="6">
        <f t="shared" si="70"/>
        <v>0</v>
      </c>
      <c r="F179" s="6">
        <f t="shared" si="78"/>
        <v>0</v>
      </c>
      <c r="G179" s="6">
        <f t="shared" si="59"/>
        <v>0</v>
      </c>
      <c r="H179" s="6">
        <f t="shared" si="60"/>
        <v>0</v>
      </c>
      <c r="I179" s="6">
        <f t="shared" si="71"/>
        <v>0</v>
      </c>
      <c r="K179">
        <v>165</v>
      </c>
      <c r="L179">
        <f t="shared" si="61"/>
        <v>165</v>
      </c>
      <c r="M179" s="200">
        <f t="shared" si="62"/>
        <v>13.75</v>
      </c>
      <c r="N179" s="6">
        <f t="shared" si="72"/>
        <v>0</v>
      </c>
      <c r="O179" s="6">
        <f t="shared" si="73"/>
        <v>0</v>
      </c>
      <c r="P179" s="6">
        <f t="shared" si="79"/>
        <v>0</v>
      </c>
      <c r="Q179" s="6">
        <f t="shared" si="63"/>
        <v>0</v>
      </c>
      <c r="R179" s="6">
        <f t="shared" si="64"/>
        <v>0</v>
      </c>
      <c r="S179" s="6">
        <f t="shared" si="74"/>
        <v>0</v>
      </c>
      <c r="U179">
        <v>165</v>
      </c>
      <c r="V179">
        <f t="shared" si="65"/>
        <v>165</v>
      </c>
      <c r="W179" s="200">
        <f t="shared" si="66"/>
        <v>13.75</v>
      </c>
      <c r="X179" s="6">
        <f t="shared" si="75"/>
        <v>0</v>
      </c>
      <c r="Y179" s="6">
        <f t="shared" si="76"/>
        <v>0</v>
      </c>
      <c r="Z179" s="6">
        <f t="shared" si="80"/>
        <v>0</v>
      </c>
      <c r="AA179" s="6">
        <f t="shared" si="67"/>
        <v>0</v>
      </c>
      <c r="AB179" s="6">
        <f t="shared" si="68"/>
        <v>0</v>
      </c>
      <c r="AC179" s="6">
        <f t="shared" si="77"/>
        <v>0</v>
      </c>
    </row>
    <row r="180" spans="1:29" x14ac:dyDescent="0.25">
      <c r="A180">
        <v>166</v>
      </c>
      <c r="B180">
        <f t="shared" si="57"/>
        <v>166</v>
      </c>
      <c r="C180" s="200">
        <f t="shared" si="58"/>
        <v>13.833333333333334</v>
      </c>
      <c r="D180" s="6">
        <f t="shared" si="69"/>
        <v>0</v>
      </c>
      <c r="E180" s="6">
        <f t="shared" si="70"/>
        <v>0</v>
      </c>
      <c r="F180" s="6">
        <f t="shared" si="78"/>
        <v>0</v>
      </c>
      <c r="G180" s="6">
        <f t="shared" si="59"/>
        <v>0</v>
      </c>
      <c r="H180" s="6">
        <f t="shared" si="60"/>
        <v>0</v>
      </c>
      <c r="I180" s="6">
        <f t="shared" si="71"/>
        <v>0</v>
      </c>
      <c r="K180">
        <v>166</v>
      </c>
      <c r="L180">
        <f t="shared" si="61"/>
        <v>166</v>
      </c>
      <c r="M180" s="200">
        <f t="shared" si="62"/>
        <v>13.833333333333334</v>
      </c>
      <c r="N180" s="6">
        <f t="shared" si="72"/>
        <v>0</v>
      </c>
      <c r="O180" s="6">
        <f t="shared" si="73"/>
        <v>0</v>
      </c>
      <c r="P180" s="6">
        <f t="shared" si="79"/>
        <v>0</v>
      </c>
      <c r="Q180" s="6">
        <f t="shared" si="63"/>
        <v>0</v>
      </c>
      <c r="R180" s="6">
        <f t="shared" si="64"/>
        <v>0</v>
      </c>
      <c r="S180" s="6">
        <f t="shared" si="74"/>
        <v>0</v>
      </c>
      <c r="U180">
        <v>166</v>
      </c>
      <c r="V180">
        <f t="shared" si="65"/>
        <v>166</v>
      </c>
      <c r="W180" s="200">
        <f t="shared" si="66"/>
        <v>13.833333333333334</v>
      </c>
      <c r="X180" s="6">
        <f t="shared" si="75"/>
        <v>0</v>
      </c>
      <c r="Y180" s="6">
        <f t="shared" si="76"/>
        <v>0</v>
      </c>
      <c r="Z180" s="6">
        <f t="shared" si="80"/>
        <v>0</v>
      </c>
      <c r="AA180" s="6">
        <f t="shared" si="67"/>
        <v>0</v>
      </c>
      <c r="AB180" s="6">
        <f t="shared" si="68"/>
        <v>0</v>
      </c>
      <c r="AC180" s="6">
        <f t="shared" si="77"/>
        <v>0</v>
      </c>
    </row>
    <row r="181" spans="1:29" x14ac:dyDescent="0.25">
      <c r="A181">
        <v>167</v>
      </c>
      <c r="B181">
        <f t="shared" si="57"/>
        <v>167</v>
      </c>
      <c r="C181" s="200">
        <f t="shared" si="58"/>
        <v>13.916666666666666</v>
      </c>
      <c r="D181" s="6">
        <f t="shared" si="69"/>
        <v>0</v>
      </c>
      <c r="E181" s="6">
        <f t="shared" si="70"/>
        <v>0</v>
      </c>
      <c r="F181" s="6">
        <f t="shared" si="78"/>
        <v>0</v>
      </c>
      <c r="G181" s="6">
        <f t="shared" si="59"/>
        <v>0</v>
      </c>
      <c r="H181" s="6">
        <f t="shared" si="60"/>
        <v>0</v>
      </c>
      <c r="I181" s="6">
        <f t="shared" si="71"/>
        <v>0</v>
      </c>
      <c r="K181">
        <v>167</v>
      </c>
      <c r="L181">
        <f t="shared" si="61"/>
        <v>167</v>
      </c>
      <c r="M181" s="200">
        <f t="shared" si="62"/>
        <v>13.916666666666666</v>
      </c>
      <c r="N181" s="6">
        <f t="shared" si="72"/>
        <v>0</v>
      </c>
      <c r="O181" s="6">
        <f t="shared" si="73"/>
        <v>0</v>
      </c>
      <c r="P181" s="6">
        <f t="shared" si="79"/>
        <v>0</v>
      </c>
      <c r="Q181" s="6">
        <f t="shared" si="63"/>
        <v>0</v>
      </c>
      <c r="R181" s="6">
        <f t="shared" si="64"/>
        <v>0</v>
      </c>
      <c r="S181" s="6">
        <f t="shared" si="74"/>
        <v>0</v>
      </c>
      <c r="U181">
        <v>167</v>
      </c>
      <c r="V181">
        <f t="shared" si="65"/>
        <v>167</v>
      </c>
      <c r="W181" s="200">
        <f t="shared" si="66"/>
        <v>13.916666666666666</v>
      </c>
      <c r="X181" s="6">
        <f t="shared" si="75"/>
        <v>0</v>
      </c>
      <c r="Y181" s="6">
        <f t="shared" si="76"/>
        <v>0</v>
      </c>
      <c r="Z181" s="6">
        <f t="shared" si="80"/>
        <v>0</v>
      </c>
      <c r="AA181" s="6">
        <f t="shared" si="67"/>
        <v>0</v>
      </c>
      <c r="AB181" s="6">
        <f t="shared" si="68"/>
        <v>0</v>
      </c>
      <c r="AC181" s="6">
        <f t="shared" si="77"/>
        <v>0</v>
      </c>
    </row>
    <row r="182" spans="1:29" x14ac:dyDescent="0.25">
      <c r="A182">
        <v>168</v>
      </c>
      <c r="B182">
        <f t="shared" si="57"/>
        <v>168</v>
      </c>
      <c r="C182" s="200">
        <f t="shared" si="58"/>
        <v>14</v>
      </c>
      <c r="D182" s="6">
        <f t="shared" si="69"/>
        <v>0</v>
      </c>
      <c r="E182" s="6">
        <f t="shared" si="70"/>
        <v>0</v>
      </c>
      <c r="F182" s="6">
        <f t="shared" si="78"/>
        <v>0</v>
      </c>
      <c r="G182" s="6">
        <f t="shared" si="59"/>
        <v>0</v>
      </c>
      <c r="H182" s="6">
        <f t="shared" si="60"/>
        <v>0</v>
      </c>
      <c r="I182" s="6">
        <f t="shared" si="71"/>
        <v>0</v>
      </c>
      <c r="K182">
        <v>168</v>
      </c>
      <c r="L182">
        <f t="shared" si="61"/>
        <v>168</v>
      </c>
      <c r="M182" s="200">
        <f t="shared" si="62"/>
        <v>14</v>
      </c>
      <c r="N182" s="6">
        <f t="shared" si="72"/>
        <v>0</v>
      </c>
      <c r="O182" s="6">
        <f t="shared" si="73"/>
        <v>0</v>
      </c>
      <c r="P182" s="6">
        <f t="shared" si="79"/>
        <v>0</v>
      </c>
      <c r="Q182" s="6">
        <f t="shared" si="63"/>
        <v>0</v>
      </c>
      <c r="R182" s="6">
        <f t="shared" si="64"/>
        <v>0</v>
      </c>
      <c r="S182" s="6">
        <f t="shared" si="74"/>
        <v>0</v>
      </c>
      <c r="U182">
        <v>168</v>
      </c>
      <c r="V182">
        <f t="shared" si="65"/>
        <v>168</v>
      </c>
      <c r="W182" s="200">
        <f t="shared" si="66"/>
        <v>14</v>
      </c>
      <c r="X182" s="6">
        <f t="shared" si="75"/>
        <v>0</v>
      </c>
      <c r="Y182" s="6">
        <f t="shared" si="76"/>
        <v>0</v>
      </c>
      <c r="Z182" s="6">
        <f t="shared" si="80"/>
        <v>0</v>
      </c>
      <c r="AA182" s="6">
        <f t="shared" si="67"/>
        <v>0</v>
      </c>
      <c r="AB182" s="6">
        <f t="shared" si="68"/>
        <v>0</v>
      </c>
      <c r="AC182" s="6">
        <f t="shared" si="77"/>
        <v>0</v>
      </c>
    </row>
    <row r="183" spans="1:29" x14ac:dyDescent="0.25">
      <c r="A183">
        <v>169</v>
      </c>
      <c r="B183">
        <f t="shared" si="57"/>
        <v>169</v>
      </c>
      <c r="C183" s="200">
        <f t="shared" si="58"/>
        <v>14.083333333333334</v>
      </c>
      <c r="D183" s="6">
        <f t="shared" si="69"/>
        <v>0</v>
      </c>
      <c r="E183" s="6">
        <f t="shared" si="70"/>
        <v>0</v>
      </c>
      <c r="F183" s="6">
        <f t="shared" si="78"/>
        <v>0</v>
      </c>
      <c r="G183" s="6">
        <f t="shared" si="59"/>
        <v>0</v>
      </c>
      <c r="H183" s="6">
        <f t="shared" si="60"/>
        <v>0</v>
      </c>
      <c r="I183" s="6">
        <f t="shared" si="71"/>
        <v>0</v>
      </c>
      <c r="K183">
        <v>169</v>
      </c>
      <c r="L183">
        <f t="shared" si="61"/>
        <v>169</v>
      </c>
      <c r="M183" s="200">
        <f t="shared" si="62"/>
        <v>14.083333333333334</v>
      </c>
      <c r="N183" s="6">
        <f t="shared" si="72"/>
        <v>0</v>
      </c>
      <c r="O183" s="6">
        <f t="shared" si="73"/>
        <v>0</v>
      </c>
      <c r="P183" s="6">
        <f t="shared" si="79"/>
        <v>0</v>
      </c>
      <c r="Q183" s="6">
        <f t="shared" si="63"/>
        <v>0</v>
      </c>
      <c r="R183" s="6">
        <f t="shared" si="64"/>
        <v>0</v>
      </c>
      <c r="S183" s="6">
        <f t="shared" si="74"/>
        <v>0</v>
      </c>
      <c r="U183">
        <v>169</v>
      </c>
      <c r="V183">
        <f t="shared" si="65"/>
        <v>169</v>
      </c>
      <c r="W183" s="200">
        <f t="shared" si="66"/>
        <v>14.083333333333334</v>
      </c>
      <c r="X183" s="6">
        <f t="shared" si="75"/>
        <v>0</v>
      </c>
      <c r="Y183" s="6">
        <f t="shared" si="76"/>
        <v>0</v>
      </c>
      <c r="Z183" s="6">
        <f t="shared" si="80"/>
        <v>0</v>
      </c>
      <c r="AA183" s="6">
        <f t="shared" si="67"/>
        <v>0</v>
      </c>
      <c r="AB183" s="6">
        <f t="shared" si="68"/>
        <v>0</v>
      </c>
      <c r="AC183" s="6">
        <f t="shared" si="77"/>
        <v>0</v>
      </c>
    </row>
    <row r="184" spans="1:29" x14ac:dyDescent="0.25">
      <c r="A184">
        <v>170</v>
      </c>
      <c r="B184">
        <f t="shared" si="57"/>
        <v>170</v>
      </c>
      <c r="C184" s="200">
        <f t="shared" si="58"/>
        <v>14.166666666666666</v>
      </c>
      <c r="D184" s="6">
        <f t="shared" si="69"/>
        <v>0</v>
      </c>
      <c r="E184" s="6">
        <f t="shared" si="70"/>
        <v>0</v>
      </c>
      <c r="F184" s="6">
        <f t="shared" si="78"/>
        <v>0</v>
      </c>
      <c r="G184" s="6">
        <f t="shared" si="59"/>
        <v>0</v>
      </c>
      <c r="H184" s="6">
        <f t="shared" si="60"/>
        <v>0</v>
      </c>
      <c r="I184" s="6">
        <f t="shared" si="71"/>
        <v>0</v>
      </c>
      <c r="K184">
        <v>170</v>
      </c>
      <c r="L184">
        <f t="shared" si="61"/>
        <v>170</v>
      </c>
      <c r="M184" s="200">
        <f t="shared" si="62"/>
        <v>14.166666666666666</v>
      </c>
      <c r="N184" s="6">
        <f t="shared" si="72"/>
        <v>0</v>
      </c>
      <c r="O184" s="6">
        <f t="shared" si="73"/>
        <v>0</v>
      </c>
      <c r="P184" s="6">
        <f t="shared" si="79"/>
        <v>0</v>
      </c>
      <c r="Q184" s="6">
        <f t="shared" si="63"/>
        <v>0</v>
      </c>
      <c r="R184" s="6">
        <f t="shared" si="64"/>
        <v>0</v>
      </c>
      <c r="S184" s="6">
        <f t="shared" si="74"/>
        <v>0</v>
      </c>
      <c r="U184">
        <v>170</v>
      </c>
      <c r="V184">
        <f t="shared" si="65"/>
        <v>170</v>
      </c>
      <c r="W184" s="200">
        <f t="shared" si="66"/>
        <v>14.166666666666666</v>
      </c>
      <c r="X184" s="6">
        <f t="shared" si="75"/>
        <v>0</v>
      </c>
      <c r="Y184" s="6">
        <f t="shared" si="76"/>
        <v>0</v>
      </c>
      <c r="Z184" s="6">
        <f t="shared" si="80"/>
        <v>0</v>
      </c>
      <c r="AA184" s="6">
        <f t="shared" si="67"/>
        <v>0</v>
      </c>
      <c r="AB184" s="6">
        <f t="shared" si="68"/>
        <v>0</v>
      </c>
      <c r="AC184" s="6">
        <f t="shared" si="77"/>
        <v>0</v>
      </c>
    </row>
    <row r="185" spans="1:29" x14ac:dyDescent="0.25">
      <c r="A185">
        <v>171</v>
      </c>
      <c r="B185">
        <f t="shared" si="57"/>
        <v>171</v>
      </c>
      <c r="C185" s="200">
        <f t="shared" si="58"/>
        <v>14.25</v>
      </c>
      <c r="D185" s="6">
        <f t="shared" si="69"/>
        <v>0</v>
      </c>
      <c r="E185" s="6">
        <f t="shared" si="70"/>
        <v>0</v>
      </c>
      <c r="F185" s="6">
        <f t="shared" si="78"/>
        <v>0</v>
      </c>
      <c r="G185" s="6">
        <f t="shared" si="59"/>
        <v>0</v>
      </c>
      <c r="H185" s="6">
        <f t="shared" si="60"/>
        <v>0</v>
      </c>
      <c r="I185" s="6">
        <f t="shared" si="71"/>
        <v>0</v>
      </c>
      <c r="K185">
        <v>171</v>
      </c>
      <c r="L185">
        <f t="shared" si="61"/>
        <v>171</v>
      </c>
      <c r="M185" s="200">
        <f t="shared" si="62"/>
        <v>14.25</v>
      </c>
      <c r="N185" s="6">
        <f t="shared" si="72"/>
        <v>0</v>
      </c>
      <c r="O185" s="6">
        <f t="shared" si="73"/>
        <v>0</v>
      </c>
      <c r="P185" s="6">
        <f t="shared" si="79"/>
        <v>0</v>
      </c>
      <c r="Q185" s="6">
        <f t="shared" si="63"/>
        <v>0</v>
      </c>
      <c r="R185" s="6">
        <f t="shared" si="64"/>
        <v>0</v>
      </c>
      <c r="S185" s="6">
        <f t="shared" si="74"/>
        <v>0</v>
      </c>
      <c r="U185">
        <v>171</v>
      </c>
      <c r="V185">
        <f t="shared" si="65"/>
        <v>171</v>
      </c>
      <c r="W185" s="200">
        <f t="shared" si="66"/>
        <v>14.25</v>
      </c>
      <c r="X185" s="6">
        <f t="shared" si="75"/>
        <v>0</v>
      </c>
      <c r="Y185" s="6">
        <f t="shared" si="76"/>
        <v>0</v>
      </c>
      <c r="Z185" s="6">
        <f t="shared" si="80"/>
        <v>0</v>
      </c>
      <c r="AA185" s="6">
        <f t="shared" si="67"/>
        <v>0</v>
      </c>
      <c r="AB185" s="6">
        <f t="shared" si="68"/>
        <v>0</v>
      </c>
      <c r="AC185" s="6">
        <f t="shared" si="77"/>
        <v>0</v>
      </c>
    </row>
    <row r="186" spans="1:29" x14ac:dyDescent="0.25">
      <c r="A186">
        <v>172</v>
      </c>
      <c r="B186">
        <f t="shared" si="57"/>
        <v>172</v>
      </c>
      <c r="C186" s="200">
        <f t="shared" si="58"/>
        <v>14.333333333333334</v>
      </c>
      <c r="D186" s="6">
        <f t="shared" si="69"/>
        <v>0</v>
      </c>
      <c r="E186" s="6">
        <f t="shared" si="70"/>
        <v>0</v>
      </c>
      <c r="F186" s="6">
        <f t="shared" si="78"/>
        <v>0</v>
      </c>
      <c r="G186" s="6">
        <f t="shared" si="59"/>
        <v>0</v>
      </c>
      <c r="H186" s="6">
        <f t="shared" si="60"/>
        <v>0</v>
      </c>
      <c r="I186" s="6">
        <f t="shared" si="71"/>
        <v>0</v>
      </c>
      <c r="K186">
        <v>172</v>
      </c>
      <c r="L186">
        <f t="shared" si="61"/>
        <v>172</v>
      </c>
      <c r="M186" s="200">
        <f t="shared" si="62"/>
        <v>14.333333333333334</v>
      </c>
      <c r="N186" s="6">
        <f t="shared" si="72"/>
        <v>0</v>
      </c>
      <c r="O186" s="6">
        <f t="shared" si="73"/>
        <v>0</v>
      </c>
      <c r="P186" s="6">
        <f t="shared" si="79"/>
        <v>0</v>
      </c>
      <c r="Q186" s="6">
        <f t="shared" si="63"/>
        <v>0</v>
      </c>
      <c r="R186" s="6">
        <f t="shared" si="64"/>
        <v>0</v>
      </c>
      <c r="S186" s="6">
        <f t="shared" si="74"/>
        <v>0</v>
      </c>
      <c r="U186">
        <v>172</v>
      </c>
      <c r="V186">
        <f t="shared" si="65"/>
        <v>172</v>
      </c>
      <c r="W186" s="200">
        <f t="shared" si="66"/>
        <v>14.333333333333334</v>
      </c>
      <c r="X186" s="6">
        <f t="shared" si="75"/>
        <v>0</v>
      </c>
      <c r="Y186" s="6">
        <f t="shared" si="76"/>
        <v>0</v>
      </c>
      <c r="Z186" s="6">
        <f t="shared" si="80"/>
        <v>0</v>
      </c>
      <c r="AA186" s="6">
        <f t="shared" si="67"/>
        <v>0</v>
      </c>
      <c r="AB186" s="6">
        <f t="shared" si="68"/>
        <v>0</v>
      </c>
      <c r="AC186" s="6">
        <f t="shared" si="77"/>
        <v>0</v>
      </c>
    </row>
    <row r="187" spans="1:29" x14ac:dyDescent="0.25">
      <c r="A187">
        <v>173</v>
      </c>
      <c r="B187">
        <f t="shared" si="57"/>
        <v>173</v>
      </c>
      <c r="C187" s="200">
        <f t="shared" si="58"/>
        <v>14.416666666666666</v>
      </c>
      <c r="D187" s="6">
        <f t="shared" si="69"/>
        <v>0</v>
      </c>
      <c r="E187" s="6">
        <f t="shared" si="70"/>
        <v>0</v>
      </c>
      <c r="F187" s="6">
        <f t="shared" si="78"/>
        <v>0</v>
      </c>
      <c r="G187" s="6">
        <f t="shared" si="59"/>
        <v>0</v>
      </c>
      <c r="H187" s="6">
        <f t="shared" si="60"/>
        <v>0</v>
      </c>
      <c r="I187" s="6">
        <f t="shared" si="71"/>
        <v>0</v>
      </c>
      <c r="K187">
        <v>173</v>
      </c>
      <c r="L187">
        <f t="shared" si="61"/>
        <v>173</v>
      </c>
      <c r="M187" s="200">
        <f t="shared" si="62"/>
        <v>14.416666666666666</v>
      </c>
      <c r="N187" s="6">
        <f t="shared" si="72"/>
        <v>0</v>
      </c>
      <c r="O187" s="6">
        <f t="shared" si="73"/>
        <v>0</v>
      </c>
      <c r="P187" s="6">
        <f t="shared" si="79"/>
        <v>0</v>
      </c>
      <c r="Q187" s="6">
        <f t="shared" si="63"/>
        <v>0</v>
      </c>
      <c r="R187" s="6">
        <f t="shared" si="64"/>
        <v>0</v>
      </c>
      <c r="S187" s="6">
        <f t="shared" si="74"/>
        <v>0</v>
      </c>
      <c r="U187">
        <v>173</v>
      </c>
      <c r="V187">
        <f t="shared" si="65"/>
        <v>173</v>
      </c>
      <c r="W187" s="200">
        <f t="shared" si="66"/>
        <v>14.416666666666666</v>
      </c>
      <c r="X187" s="6">
        <f t="shared" si="75"/>
        <v>0</v>
      </c>
      <c r="Y187" s="6">
        <f t="shared" si="76"/>
        <v>0</v>
      </c>
      <c r="Z187" s="6">
        <f t="shared" si="80"/>
        <v>0</v>
      </c>
      <c r="AA187" s="6">
        <f t="shared" si="67"/>
        <v>0</v>
      </c>
      <c r="AB187" s="6">
        <f t="shared" si="68"/>
        <v>0</v>
      </c>
      <c r="AC187" s="6">
        <f t="shared" si="77"/>
        <v>0</v>
      </c>
    </row>
    <row r="188" spans="1:29" x14ac:dyDescent="0.25">
      <c r="A188">
        <v>174</v>
      </c>
      <c r="B188">
        <f t="shared" si="57"/>
        <v>174</v>
      </c>
      <c r="C188" s="200">
        <f t="shared" si="58"/>
        <v>14.5</v>
      </c>
      <c r="D188" s="6">
        <f t="shared" si="69"/>
        <v>0</v>
      </c>
      <c r="E188" s="6">
        <f t="shared" si="70"/>
        <v>0</v>
      </c>
      <c r="F188" s="6">
        <f t="shared" si="78"/>
        <v>0</v>
      </c>
      <c r="G188" s="6">
        <f t="shared" si="59"/>
        <v>0</v>
      </c>
      <c r="H188" s="6">
        <f t="shared" si="60"/>
        <v>0</v>
      </c>
      <c r="I188" s="6">
        <f t="shared" si="71"/>
        <v>0</v>
      </c>
      <c r="K188">
        <v>174</v>
      </c>
      <c r="L188">
        <f t="shared" si="61"/>
        <v>174</v>
      </c>
      <c r="M188" s="200">
        <f t="shared" si="62"/>
        <v>14.5</v>
      </c>
      <c r="N188" s="6">
        <f t="shared" si="72"/>
        <v>0</v>
      </c>
      <c r="O188" s="6">
        <f t="shared" si="73"/>
        <v>0</v>
      </c>
      <c r="P188" s="6">
        <f t="shared" si="79"/>
        <v>0</v>
      </c>
      <c r="Q188" s="6">
        <f t="shared" si="63"/>
        <v>0</v>
      </c>
      <c r="R188" s="6">
        <f t="shared" si="64"/>
        <v>0</v>
      </c>
      <c r="S188" s="6">
        <f t="shared" si="74"/>
        <v>0</v>
      </c>
      <c r="U188">
        <v>174</v>
      </c>
      <c r="V188">
        <f t="shared" si="65"/>
        <v>174</v>
      </c>
      <c r="W188" s="200">
        <f t="shared" si="66"/>
        <v>14.5</v>
      </c>
      <c r="X188" s="6">
        <f t="shared" si="75"/>
        <v>0</v>
      </c>
      <c r="Y188" s="6">
        <f t="shared" si="76"/>
        <v>0</v>
      </c>
      <c r="Z188" s="6">
        <f t="shared" si="80"/>
        <v>0</v>
      </c>
      <c r="AA188" s="6">
        <f t="shared" si="67"/>
        <v>0</v>
      </c>
      <c r="AB188" s="6">
        <f t="shared" si="68"/>
        <v>0</v>
      </c>
      <c r="AC188" s="6">
        <f t="shared" si="77"/>
        <v>0</v>
      </c>
    </row>
    <row r="189" spans="1:29" x14ac:dyDescent="0.25">
      <c r="A189">
        <v>175</v>
      </c>
      <c r="B189">
        <f t="shared" si="57"/>
        <v>175</v>
      </c>
      <c r="C189" s="200">
        <f t="shared" si="58"/>
        <v>14.583333333333334</v>
      </c>
      <c r="D189" s="6">
        <f t="shared" si="69"/>
        <v>0</v>
      </c>
      <c r="E189" s="6">
        <f t="shared" si="70"/>
        <v>0</v>
      </c>
      <c r="F189" s="6">
        <f t="shared" si="78"/>
        <v>0</v>
      </c>
      <c r="G189" s="6">
        <f t="shared" si="59"/>
        <v>0</v>
      </c>
      <c r="H189" s="6">
        <f t="shared" si="60"/>
        <v>0</v>
      </c>
      <c r="I189" s="6">
        <f t="shared" si="71"/>
        <v>0</v>
      </c>
      <c r="K189">
        <v>175</v>
      </c>
      <c r="L189">
        <f t="shared" si="61"/>
        <v>175</v>
      </c>
      <c r="M189" s="200">
        <f t="shared" si="62"/>
        <v>14.583333333333334</v>
      </c>
      <c r="N189" s="6">
        <f t="shared" si="72"/>
        <v>0</v>
      </c>
      <c r="O189" s="6">
        <f t="shared" si="73"/>
        <v>0</v>
      </c>
      <c r="P189" s="6">
        <f t="shared" si="79"/>
        <v>0</v>
      </c>
      <c r="Q189" s="6">
        <f t="shared" si="63"/>
        <v>0</v>
      </c>
      <c r="R189" s="6">
        <f t="shared" si="64"/>
        <v>0</v>
      </c>
      <c r="S189" s="6">
        <f t="shared" si="74"/>
        <v>0</v>
      </c>
      <c r="U189">
        <v>175</v>
      </c>
      <c r="V189">
        <f t="shared" si="65"/>
        <v>175</v>
      </c>
      <c r="W189" s="200">
        <f t="shared" si="66"/>
        <v>14.583333333333334</v>
      </c>
      <c r="X189" s="6">
        <f t="shared" si="75"/>
        <v>0</v>
      </c>
      <c r="Y189" s="6">
        <f t="shared" si="76"/>
        <v>0</v>
      </c>
      <c r="Z189" s="6">
        <f t="shared" si="80"/>
        <v>0</v>
      </c>
      <c r="AA189" s="6">
        <f t="shared" si="67"/>
        <v>0</v>
      </c>
      <c r="AB189" s="6">
        <f t="shared" si="68"/>
        <v>0</v>
      </c>
      <c r="AC189" s="6">
        <f t="shared" si="77"/>
        <v>0</v>
      </c>
    </row>
    <row r="190" spans="1:29" x14ac:dyDescent="0.25">
      <c r="A190">
        <v>176</v>
      </c>
      <c r="B190">
        <f t="shared" si="57"/>
        <v>176</v>
      </c>
      <c r="C190" s="200">
        <f t="shared" si="58"/>
        <v>14.666666666666666</v>
      </c>
      <c r="D190" s="6">
        <f t="shared" si="69"/>
        <v>0</v>
      </c>
      <c r="E190" s="6">
        <f t="shared" si="70"/>
        <v>0</v>
      </c>
      <c r="F190" s="6">
        <f t="shared" si="78"/>
        <v>0</v>
      </c>
      <c r="G190" s="6">
        <f t="shared" si="59"/>
        <v>0</v>
      </c>
      <c r="H190" s="6">
        <f t="shared" si="60"/>
        <v>0</v>
      </c>
      <c r="I190" s="6">
        <f t="shared" si="71"/>
        <v>0</v>
      </c>
      <c r="K190">
        <v>176</v>
      </c>
      <c r="L190">
        <f t="shared" si="61"/>
        <v>176</v>
      </c>
      <c r="M190" s="200">
        <f t="shared" si="62"/>
        <v>14.666666666666666</v>
      </c>
      <c r="N190" s="6">
        <f t="shared" si="72"/>
        <v>0</v>
      </c>
      <c r="O190" s="6">
        <f t="shared" si="73"/>
        <v>0</v>
      </c>
      <c r="P190" s="6">
        <f t="shared" si="79"/>
        <v>0</v>
      </c>
      <c r="Q190" s="6">
        <f t="shared" si="63"/>
        <v>0</v>
      </c>
      <c r="R190" s="6">
        <f t="shared" si="64"/>
        <v>0</v>
      </c>
      <c r="S190" s="6">
        <f t="shared" si="74"/>
        <v>0</v>
      </c>
      <c r="U190">
        <v>176</v>
      </c>
      <c r="V190">
        <f t="shared" si="65"/>
        <v>176</v>
      </c>
      <c r="W190" s="200">
        <f t="shared" si="66"/>
        <v>14.666666666666666</v>
      </c>
      <c r="X190" s="6">
        <f t="shared" si="75"/>
        <v>0</v>
      </c>
      <c r="Y190" s="6">
        <f t="shared" si="76"/>
        <v>0</v>
      </c>
      <c r="Z190" s="6">
        <f t="shared" si="80"/>
        <v>0</v>
      </c>
      <c r="AA190" s="6">
        <f t="shared" si="67"/>
        <v>0</v>
      </c>
      <c r="AB190" s="6">
        <f t="shared" si="68"/>
        <v>0</v>
      </c>
      <c r="AC190" s="6">
        <f t="shared" si="77"/>
        <v>0</v>
      </c>
    </row>
    <row r="191" spans="1:29" x14ac:dyDescent="0.25">
      <c r="A191">
        <v>177</v>
      </c>
      <c r="B191">
        <f t="shared" si="57"/>
        <v>177</v>
      </c>
      <c r="C191" s="200">
        <f t="shared" si="58"/>
        <v>14.75</v>
      </c>
      <c r="D191" s="6">
        <f t="shared" si="69"/>
        <v>0</v>
      </c>
      <c r="E191" s="6">
        <f t="shared" si="70"/>
        <v>0</v>
      </c>
      <c r="F191" s="6">
        <f t="shared" si="78"/>
        <v>0</v>
      </c>
      <c r="G191" s="6">
        <f t="shared" si="59"/>
        <v>0</v>
      </c>
      <c r="H191" s="6">
        <f t="shared" si="60"/>
        <v>0</v>
      </c>
      <c r="I191" s="6">
        <f t="shared" si="71"/>
        <v>0</v>
      </c>
      <c r="K191">
        <v>177</v>
      </c>
      <c r="L191">
        <f t="shared" si="61"/>
        <v>177</v>
      </c>
      <c r="M191" s="200">
        <f t="shared" si="62"/>
        <v>14.75</v>
      </c>
      <c r="N191" s="6">
        <f t="shared" si="72"/>
        <v>0</v>
      </c>
      <c r="O191" s="6">
        <f t="shared" si="73"/>
        <v>0</v>
      </c>
      <c r="P191" s="6">
        <f t="shared" si="79"/>
        <v>0</v>
      </c>
      <c r="Q191" s="6">
        <f t="shared" si="63"/>
        <v>0</v>
      </c>
      <c r="R191" s="6">
        <f t="shared" si="64"/>
        <v>0</v>
      </c>
      <c r="S191" s="6">
        <f t="shared" si="74"/>
        <v>0</v>
      </c>
      <c r="U191">
        <v>177</v>
      </c>
      <c r="V191">
        <f t="shared" si="65"/>
        <v>177</v>
      </c>
      <c r="W191" s="200">
        <f t="shared" si="66"/>
        <v>14.75</v>
      </c>
      <c r="X191" s="6">
        <f t="shared" si="75"/>
        <v>0</v>
      </c>
      <c r="Y191" s="6">
        <f t="shared" si="76"/>
        <v>0</v>
      </c>
      <c r="Z191" s="6">
        <f t="shared" si="80"/>
        <v>0</v>
      </c>
      <c r="AA191" s="6">
        <f t="shared" si="67"/>
        <v>0</v>
      </c>
      <c r="AB191" s="6">
        <f t="shared" si="68"/>
        <v>0</v>
      </c>
      <c r="AC191" s="6">
        <f t="shared" si="77"/>
        <v>0</v>
      </c>
    </row>
    <row r="192" spans="1:29" x14ac:dyDescent="0.25">
      <c r="A192">
        <v>178</v>
      </c>
      <c r="B192">
        <f t="shared" si="57"/>
        <v>178</v>
      </c>
      <c r="C192" s="200">
        <f t="shared" si="58"/>
        <v>14.833333333333334</v>
      </c>
      <c r="D192" s="6">
        <f t="shared" si="69"/>
        <v>0</v>
      </c>
      <c r="E192" s="6">
        <f t="shared" si="70"/>
        <v>0</v>
      </c>
      <c r="F192" s="6">
        <f t="shared" si="78"/>
        <v>0</v>
      </c>
      <c r="G192" s="6">
        <f t="shared" si="59"/>
        <v>0</v>
      </c>
      <c r="H192" s="6">
        <f t="shared" si="60"/>
        <v>0</v>
      </c>
      <c r="I192" s="6">
        <f t="shared" si="71"/>
        <v>0</v>
      </c>
      <c r="K192">
        <v>178</v>
      </c>
      <c r="L192">
        <f t="shared" si="61"/>
        <v>178</v>
      </c>
      <c r="M192" s="200">
        <f t="shared" si="62"/>
        <v>14.833333333333334</v>
      </c>
      <c r="N192" s="6">
        <f t="shared" si="72"/>
        <v>0</v>
      </c>
      <c r="O192" s="6">
        <f t="shared" si="73"/>
        <v>0</v>
      </c>
      <c r="P192" s="6">
        <f t="shared" si="79"/>
        <v>0</v>
      </c>
      <c r="Q192" s="6">
        <f t="shared" si="63"/>
        <v>0</v>
      </c>
      <c r="R192" s="6">
        <f t="shared" si="64"/>
        <v>0</v>
      </c>
      <c r="S192" s="6">
        <f t="shared" si="74"/>
        <v>0</v>
      </c>
      <c r="U192">
        <v>178</v>
      </c>
      <c r="V192">
        <f t="shared" si="65"/>
        <v>178</v>
      </c>
      <c r="W192" s="200">
        <f t="shared" si="66"/>
        <v>14.833333333333334</v>
      </c>
      <c r="X192" s="6">
        <f t="shared" si="75"/>
        <v>0</v>
      </c>
      <c r="Y192" s="6">
        <f t="shared" si="76"/>
        <v>0</v>
      </c>
      <c r="Z192" s="6">
        <f t="shared" si="80"/>
        <v>0</v>
      </c>
      <c r="AA192" s="6">
        <f t="shared" si="67"/>
        <v>0</v>
      </c>
      <c r="AB192" s="6">
        <f t="shared" si="68"/>
        <v>0</v>
      </c>
      <c r="AC192" s="6">
        <f t="shared" si="77"/>
        <v>0</v>
      </c>
    </row>
    <row r="193" spans="1:29" x14ac:dyDescent="0.25">
      <c r="A193">
        <v>179</v>
      </c>
      <c r="B193">
        <f t="shared" si="57"/>
        <v>179</v>
      </c>
      <c r="C193" s="200">
        <f t="shared" si="58"/>
        <v>14.916666666666666</v>
      </c>
      <c r="D193" s="6">
        <f t="shared" si="69"/>
        <v>0</v>
      </c>
      <c r="E193" s="6">
        <f t="shared" si="70"/>
        <v>0</v>
      </c>
      <c r="F193" s="6">
        <f t="shared" si="78"/>
        <v>0</v>
      </c>
      <c r="G193" s="6">
        <f t="shared" si="59"/>
        <v>0</v>
      </c>
      <c r="H193" s="6">
        <f t="shared" si="60"/>
        <v>0</v>
      </c>
      <c r="I193" s="6">
        <f t="shared" si="71"/>
        <v>0</v>
      </c>
      <c r="K193">
        <v>179</v>
      </c>
      <c r="L193">
        <f t="shared" si="61"/>
        <v>179</v>
      </c>
      <c r="M193" s="200">
        <f t="shared" si="62"/>
        <v>14.916666666666666</v>
      </c>
      <c r="N193" s="6">
        <f t="shared" si="72"/>
        <v>0</v>
      </c>
      <c r="O193" s="6">
        <f t="shared" si="73"/>
        <v>0</v>
      </c>
      <c r="P193" s="6">
        <f t="shared" si="79"/>
        <v>0</v>
      </c>
      <c r="Q193" s="6">
        <f t="shared" si="63"/>
        <v>0</v>
      </c>
      <c r="R193" s="6">
        <f t="shared" si="64"/>
        <v>0</v>
      </c>
      <c r="S193" s="6">
        <f t="shared" si="74"/>
        <v>0</v>
      </c>
      <c r="U193">
        <v>179</v>
      </c>
      <c r="V193">
        <f t="shared" si="65"/>
        <v>179</v>
      </c>
      <c r="W193" s="200">
        <f t="shared" si="66"/>
        <v>14.916666666666666</v>
      </c>
      <c r="X193" s="6">
        <f t="shared" si="75"/>
        <v>0</v>
      </c>
      <c r="Y193" s="6">
        <f t="shared" si="76"/>
        <v>0</v>
      </c>
      <c r="Z193" s="6">
        <f t="shared" si="80"/>
        <v>0</v>
      </c>
      <c r="AA193" s="6">
        <f t="shared" si="67"/>
        <v>0</v>
      </c>
      <c r="AB193" s="6">
        <f t="shared" si="68"/>
        <v>0</v>
      </c>
      <c r="AC193" s="6">
        <f t="shared" si="77"/>
        <v>0</v>
      </c>
    </row>
    <row r="194" spans="1:29" x14ac:dyDescent="0.25">
      <c r="A194">
        <v>180</v>
      </c>
      <c r="B194">
        <f t="shared" si="57"/>
        <v>180</v>
      </c>
      <c r="C194" s="200">
        <f t="shared" si="58"/>
        <v>15</v>
      </c>
      <c r="D194" s="6">
        <f t="shared" si="69"/>
        <v>0</v>
      </c>
      <c r="E194" s="6">
        <f t="shared" si="70"/>
        <v>0</v>
      </c>
      <c r="F194" s="6">
        <f t="shared" si="78"/>
        <v>0</v>
      </c>
      <c r="G194" s="6">
        <f t="shared" si="59"/>
        <v>0</v>
      </c>
      <c r="H194" s="6">
        <f t="shared" si="60"/>
        <v>0</v>
      </c>
      <c r="I194" s="6">
        <f t="shared" si="71"/>
        <v>0</v>
      </c>
      <c r="K194">
        <v>180</v>
      </c>
      <c r="L194">
        <f t="shared" si="61"/>
        <v>180</v>
      </c>
      <c r="M194" s="200">
        <f t="shared" si="62"/>
        <v>15</v>
      </c>
      <c r="N194" s="6">
        <f t="shared" si="72"/>
        <v>0</v>
      </c>
      <c r="O194" s="6">
        <f t="shared" si="73"/>
        <v>0</v>
      </c>
      <c r="P194" s="6">
        <f t="shared" si="79"/>
        <v>0</v>
      </c>
      <c r="Q194" s="6">
        <f t="shared" si="63"/>
        <v>0</v>
      </c>
      <c r="R194" s="6">
        <f t="shared" si="64"/>
        <v>0</v>
      </c>
      <c r="S194" s="6">
        <f t="shared" si="74"/>
        <v>0</v>
      </c>
      <c r="U194">
        <v>180</v>
      </c>
      <c r="V194">
        <f t="shared" si="65"/>
        <v>180</v>
      </c>
      <c r="W194" s="200">
        <f t="shared" si="66"/>
        <v>15</v>
      </c>
      <c r="X194" s="6">
        <f t="shared" si="75"/>
        <v>0</v>
      </c>
      <c r="Y194" s="6">
        <f t="shared" si="76"/>
        <v>0</v>
      </c>
      <c r="Z194" s="6">
        <f t="shared" si="80"/>
        <v>0</v>
      </c>
      <c r="AA194" s="6">
        <f t="shared" si="67"/>
        <v>0</v>
      </c>
      <c r="AB194" s="6">
        <f t="shared" si="68"/>
        <v>0</v>
      </c>
      <c r="AC194" s="6">
        <f t="shared" si="77"/>
        <v>0</v>
      </c>
    </row>
  </sheetData>
  <sheetProtection sheet="1" objects="1" scenarios="1" formatCells="0"/>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736A9-2454-4C0C-8683-B45102BA862B}">
  <dimension ref="A3:D60"/>
  <sheetViews>
    <sheetView zoomScale="150" zoomScaleNormal="150" workbookViewId="0">
      <selection activeCell="B13" sqref="B13"/>
    </sheetView>
  </sheetViews>
  <sheetFormatPr defaultColWidth="8.7109375" defaultRowHeight="12.75" x14ac:dyDescent="0.2"/>
  <cols>
    <col min="1" max="1" width="28.28515625" style="1076" bestFit="1" customWidth="1"/>
    <col min="2" max="2" width="25.42578125" style="1076" customWidth="1"/>
    <col min="3" max="4" width="11.7109375" style="1076" bestFit="1" customWidth="1"/>
    <col min="5" max="16384" width="8.7109375" style="1076"/>
  </cols>
  <sheetData>
    <row r="3" spans="1:3" x14ac:dyDescent="0.2">
      <c r="A3" s="1075" t="s">
        <v>820</v>
      </c>
      <c r="B3" s="1095"/>
    </row>
    <row r="4" spans="1:3" x14ac:dyDescent="0.2">
      <c r="A4" s="1075" t="s">
        <v>821</v>
      </c>
      <c r="B4" s="1095"/>
    </row>
    <row r="5" spans="1:3" x14ac:dyDescent="0.2">
      <c r="A5" s="1075" t="s">
        <v>822</v>
      </c>
      <c r="B5" s="1095"/>
    </row>
    <row r="6" spans="1:3" x14ac:dyDescent="0.2">
      <c r="A6" s="1075" t="s">
        <v>823</v>
      </c>
      <c r="B6" s="1094">
        <f>Summary!K6</f>
        <v>0</v>
      </c>
    </row>
    <row r="7" spans="1:3" x14ac:dyDescent="0.2">
      <c r="B7" s="1095"/>
    </row>
    <row r="8" spans="1:3" x14ac:dyDescent="0.2">
      <c r="A8" s="1075" t="s">
        <v>824</v>
      </c>
      <c r="B8" s="1094"/>
    </row>
    <row r="9" spans="1:3" x14ac:dyDescent="0.2">
      <c r="A9" s="1075" t="s">
        <v>40</v>
      </c>
      <c r="B9" s="1094">
        <f>Summary!E7</f>
        <v>0</v>
      </c>
    </row>
    <row r="10" spans="1:3" x14ac:dyDescent="0.2">
      <c r="A10" s="1075" t="s">
        <v>82</v>
      </c>
      <c r="B10" s="1094">
        <f>Summary!E8</f>
        <v>0</v>
      </c>
    </row>
    <row r="11" spans="1:3" x14ac:dyDescent="0.2">
      <c r="A11" s="1075" t="s">
        <v>825</v>
      </c>
      <c r="B11" s="1094">
        <f>Summary!E9</f>
        <v>0</v>
      </c>
    </row>
    <row r="12" spans="1:3" x14ac:dyDescent="0.2">
      <c r="A12" s="1075" t="s">
        <v>593</v>
      </c>
      <c r="B12" s="1094">
        <f>Summary!K7</f>
        <v>0</v>
      </c>
    </row>
    <row r="13" spans="1:3" x14ac:dyDescent="0.2">
      <c r="A13" s="1075" t="s">
        <v>1023</v>
      </c>
      <c r="B13" s="1169" t="str">
        <f>IF('Sources &amp; Loan Sizing'!K103&gt;0,'Sources &amp; Loan Sizing'!K103,"")</f>
        <v/>
      </c>
      <c r="C13" s="1081" t="s">
        <v>1026</v>
      </c>
    </row>
    <row r="14" spans="1:3" x14ac:dyDescent="0.2">
      <c r="A14" s="1075" t="s">
        <v>1024</v>
      </c>
      <c r="B14" s="1168"/>
      <c r="C14" s="1081" t="s">
        <v>1025</v>
      </c>
    </row>
    <row r="15" spans="1:3" x14ac:dyDescent="0.2">
      <c r="A15" s="1075" t="s">
        <v>457</v>
      </c>
      <c r="B15" s="1094">
        <f>'Housing Income'!D34</f>
        <v>0</v>
      </c>
    </row>
    <row r="16" spans="1:3" x14ac:dyDescent="0.2">
      <c r="A16" s="1075" t="s">
        <v>826</v>
      </c>
      <c r="B16" s="1094">
        <f>'Housing Income'!I51+'Housing Income'!I52</f>
        <v>0</v>
      </c>
      <c r="C16" s="1081" t="s">
        <v>864</v>
      </c>
    </row>
    <row r="17" spans="1:4" x14ac:dyDescent="0.2">
      <c r="A17" s="1075" t="s">
        <v>1016</v>
      </c>
      <c r="B17" s="1094">
        <f>SUMIFS('Housing Income'!$D$19:$D$33,'Housing Income'!$G$19:$G$33,"=" &amp; "50%", 'Housing Income'!$K$19:$K$33, "=" &amp; "")</f>
        <v>0</v>
      </c>
    </row>
    <row r="18" spans="1:4" x14ac:dyDescent="0.2">
      <c r="A18" s="1075" t="s">
        <v>1017</v>
      </c>
      <c r="B18" s="1094">
        <f>SUMIFS('Housing Income'!$D$19:$D$33,'Housing Income'!$G$19:$G$33,"=" &amp; "60%", 'Housing Income'!$K$19:$K$33, "=" &amp; "")</f>
        <v>0</v>
      </c>
    </row>
    <row r="19" spans="1:4" x14ac:dyDescent="0.2">
      <c r="A19" s="1075" t="s">
        <v>1018</v>
      </c>
      <c r="B19" s="1094">
        <f>SUMIFS('Housing Income'!$D$19:$D$33,'Housing Income'!$G$19:$G$33,"=" &amp; "80%", 'Housing Income'!$K$19:$K$33, "=" &amp; "")</f>
        <v>0</v>
      </c>
    </row>
    <row r="20" spans="1:4" x14ac:dyDescent="0.2">
      <c r="A20" s="1075" t="s">
        <v>827</v>
      </c>
      <c r="B20" s="1094">
        <f>SUMIF('Housing Income'!L19:L33, "Yes", 'Housing Income'!D19:D33)</f>
        <v>0</v>
      </c>
    </row>
    <row r="21" spans="1:4" x14ac:dyDescent="0.2">
      <c r="A21" s="1075" t="s">
        <v>828</v>
      </c>
      <c r="B21" s="1096" t="e">
        <f>SUM(B16:B17)/B15</f>
        <v>#DIV/0!</v>
      </c>
    </row>
    <row r="22" spans="1:4" x14ac:dyDescent="0.2">
      <c r="A22" s="1075" t="s">
        <v>829</v>
      </c>
      <c r="B22" s="1096" t="e">
        <f>B18/B15</f>
        <v>#DIV/0!</v>
      </c>
    </row>
    <row r="23" spans="1:4" x14ac:dyDescent="0.2">
      <c r="A23" s="1075" t="s">
        <v>830</v>
      </c>
      <c r="B23" s="1096" t="e">
        <f>B19/B15</f>
        <v>#DIV/0!</v>
      </c>
    </row>
    <row r="24" spans="1:4" x14ac:dyDescent="0.2">
      <c r="A24" s="1075" t="s">
        <v>468</v>
      </c>
      <c r="B24" s="1096" t="e">
        <f>SUM(B16:B19)/B15</f>
        <v>#DIV/0!</v>
      </c>
    </row>
    <row r="25" spans="1:4" x14ac:dyDescent="0.2">
      <c r="A25" s="1075" t="s">
        <v>831</v>
      </c>
      <c r="B25" s="1097">
        <f>SUMIFS('Sources &amp; Loan Sizing'!F4:F7,'Sources &amp; Loan Sizing'!K4:K7,"X")+SUMIFS('Sources &amp; Loan Sizing'!F12:F28,'Sources &amp; Loan Sizing'!K12:K28,"X")</f>
        <v>0</v>
      </c>
      <c r="C25" s="1081"/>
    </row>
    <row r="26" spans="1:4" x14ac:dyDescent="0.2">
      <c r="A26" s="1075" t="s">
        <v>832</v>
      </c>
      <c r="B26" s="1094" t="str">
        <f>IF(COUNTIFS('Sources &amp; Loan Sizing'!K4:K7,"&lt;&gt;"),"Construction/Bridge Loan","Amortizing First Mortgage")</f>
        <v>Amortizing First Mortgage</v>
      </c>
      <c r="C26" s="1076" t="s">
        <v>873</v>
      </c>
    </row>
    <row r="27" spans="1:4" x14ac:dyDescent="0.2">
      <c r="A27" s="1075" t="s">
        <v>833</v>
      </c>
      <c r="B27" s="1094"/>
    </row>
    <row r="28" spans="1:4" x14ac:dyDescent="0.2">
      <c r="A28" s="1075" t="s">
        <v>834</v>
      </c>
      <c r="B28" s="1094">
        <f>Summary!S10</f>
        <v>0</v>
      </c>
    </row>
    <row r="29" spans="1:4" x14ac:dyDescent="0.2">
      <c r="A29" s="1075" t="s">
        <v>722</v>
      </c>
      <c r="B29" s="1094">
        <f>IF(C29=D29, C29, "2010 &amp; 2020 do not match")</f>
        <v>0</v>
      </c>
      <c r="C29" s="1155">
        <f>Summary!K12</f>
        <v>0</v>
      </c>
      <c r="D29" s="1155">
        <f>Summary!L12</f>
        <v>0</v>
      </c>
    </row>
    <row r="30" spans="1:4" x14ac:dyDescent="0.2">
      <c r="A30" s="1075" t="s">
        <v>835</v>
      </c>
      <c r="B30" s="1095"/>
    </row>
    <row r="31" spans="1:4" x14ac:dyDescent="0.2">
      <c r="A31" s="1075" t="s">
        <v>836</v>
      </c>
      <c r="B31" s="1095"/>
    </row>
    <row r="32" spans="1:4" x14ac:dyDescent="0.2">
      <c r="A32" s="1075" t="s">
        <v>837</v>
      </c>
      <c r="B32" s="1095"/>
    </row>
    <row r="33" spans="1:2" x14ac:dyDescent="0.2">
      <c r="A33" s="1075" t="s">
        <v>838</v>
      </c>
      <c r="B33" s="1095"/>
    </row>
    <row r="34" spans="1:2" x14ac:dyDescent="0.2">
      <c r="A34" s="1075" t="s">
        <v>839</v>
      </c>
      <c r="B34" s="1094">
        <f>Summary!Q9</f>
        <v>0</v>
      </c>
    </row>
    <row r="35" spans="1:2" x14ac:dyDescent="0.2">
      <c r="A35" s="1075" t="s">
        <v>840</v>
      </c>
      <c r="B35" s="1094">
        <f>Summary!Q10</f>
        <v>0</v>
      </c>
    </row>
    <row r="36" spans="1:2" x14ac:dyDescent="0.2">
      <c r="A36" s="1075" t="s">
        <v>841</v>
      </c>
      <c r="B36" s="1094">
        <f>Summary!Q11</f>
        <v>0</v>
      </c>
    </row>
    <row r="37" spans="1:2" x14ac:dyDescent="0.2">
      <c r="A37" s="1075" t="s">
        <v>842</v>
      </c>
      <c r="B37" s="1094">
        <f>Summary!Q12</f>
        <v>0</v>
      </c>
    </row>
    <row r="38" spans="1:2" x14ac:dyDescent="0.2">
      <c r="A38" s="1075" t="s">
        <v>843</v>
      </c>
      <c r="B38" s="1095"/>
    </row>
    <row r="39" spans="1:2" x14ac:dyDescent="0.2">
      <c r="A39" s="1075" t="s">
        <v>844</v>
      </c>
      <c r="B39" s="1095"/>
    </row>
    <row r="40" spans="1:2" x14ac:dyDescent="0.2">
      <c r="A40" s="1075" t="s">
        <v>540</v>
      </c>
      <c r="B40" s="1098">
        <f>'Dev Costs'!H76</f>
        <v>0</v>
      </c>
    </row>
    <row r="41" spans="1:2" x14ac:dyDescent="0.2">
      <c r="A41" s="1075" t="s">
        <v>845</v>
      </c>
      <c r="B41" s="1094" t="e">
        <f>B40*B24</f>
        <v>#DIV/0!</v>
      </c>
    </row>
    <row r="42" spans="1:2" x14ac:dyDescent="0.2">
      <c r="A42" s="1075" t="s">
        <v>846</v>
      </c>
      <c r="B42" s="652">
        <f>(SUMIFS('Sources &amp; Loan Sizing'!F4:F7,'Sources &amp; Loan Sizing'!J4:J7, "Private"))+SUMIFS('Sources &amp; Loan Sizing'!F12:F27,'Sources &amp; Loan Sizing'!J12:J27,"Private")</f>
        <v>0</v>
      </c>
    </row>
    <row r="43" spans="1:2" x14ac:dyDescent="0.2">
      <c r="A43" s="1075" t="s">
        <v>847</v>
      </c>
      <c r="B43" s="652">
        <f>(SUMIFS('Sources &amp; Loan Sizing'!F4:F7,'Sources &amp; Loan Sizing'!J4:J7, "Public"))+SUMIFS('Sources &amp; Loan Sizing'!F12:F27,'Sources &amp; Loan Sizing'!J12:J27,"Public")</f>
        <v>0</v>
      </c>
    </row>
    <row r="44" spans="1:2" x14ac:dyDescent="0.2">
      <c r="A44" s="1075" t="s">
        <v>848</v>
      </c>
      <c r="B44" s="1095"/>
    </row>
    <row r="45" spans="1:2" x14ac:dyDescent="0.2">
      <c r="A45" s="1075" t="s">
        <v>849</v>
      </c>
      <c r="B45" s="1094"/>
    </row>
    <row r="46" spans="1:2" x14ac:dyDescent="0.2">
      <c r="A46" s="1075" t="s">
        <v>850</v>
      </c>
      <c r="B46" s="1095"/>
    </row>
    <row r="47" spans="1:2" x14ac:dyDescent="0.2">
      <c r="A47" s="1075" t="s">
        <v>851</v>
      </c>
      <c r="B47" s="1095"/>
    </row>
    <row r="48" spans="1:2" x14ac:dyDescent="0.2">
      <c r="A48" s="1075" t="s">
        <v>852</v>
      </c>
      <c r="B48" s="1095"/>
    </row>
    <row r="49" spans="1:2" x14ac:dyDescent="0.2">
      <c r="A49" s="1075" t="s">
        <v>853</v>
      </c>
      <c r="B49" s="1095"/>
    </row>
    <row r="50" spans="1:2" x14ac:dyDescent="0.2">
      <c r="A50" s="1075" t="s">
        <v>854</v>
      </c>
      <c r="B50" s="1095"/>
    </row>
    <row r="51" spans="1:2" x14ac:dyDescent="0.2">
      <c r="A51" s="1075" t="s">
        <v>855</v>
      </c>
      <c r="B51" s="1095"/>
    </row>
    <row r="52" spans="1:2" x14ac:dyDescent="0.2">
      <c r="A52" s="1075" t="s">
        <v>92</v>
      </c>
      <c r="B52" s="1094"/>
    </row>
    <row r="53" spans="1:2" x14ac:dyDescent="0.2">
      <c r="A53" s="1075" t="s">
        <v>856</v>
      </c>
      <c r="B53" s="1094"/>
    </row>
    <row r="54" spans="1:2" x14ac:dyDescent="0.2">
      <c r="A54" s="1075" t="s">
        <v>857</v>
      </c>
      <c r="B54" s="1094">
        <f>Summary!Q4</f>
        <v>0</v>
      </c>
    </row>
    <row r="55" spans="1:2" x14ac:dyDescent="0.2">
      <c r="A55" s="1075" t="s">
        <v>858</v>
      </c>
      <c r="B55" s="1094"/>
    </row>
    <row r="56" spans="1:2" x14ac:dyDescent="0.2">
      <c r="A56" s="1075" t="s">
        <v>812</v>
      </c>
      <c r="B56" s="1094">
        <f>Summary!Q7</f>
        <v>0</v>
      </c>
    </row>
    <row r="57" spans="1:2" x14ac:dyDescent="0.2">
      <c r="A57" s="1075" t="s">
        <v>813</v>
      </c>
      <c r="B57" s="1094">
        <f>Summary!Q8</f>
        <v>0</v>
      </c>
    </row>
    <row r="58" spans="1:2" x14ac:dyDescent="0.2">
      <c r="A58" s="1075" t="s">
        <v>859</v>
      </c>
      <c r="B58" s="1094">
        <f>Summary!Q5</f>
        <v>0</v>
      </c>
    </row>
    <row r="59" spans="1:2" x14ac:dyDescent="0.2">
      <c r="A59" s="1075" t="s">
        <v>860</v>
      </c>
      <c r="B59" s="1094">
        <f>Summary!S5</f>
        <v>0</v>
      </c>
    </row>
    <row r="60" spans="1:2" x14ac:dyDescent="0.2">
      <c r="A60" s="1075" t="s">
        <v>811</v>
      </c>
      <c r="B60" s="1094">
        <f>Summary!Q6</f>
        <v>0</v>
      </c>
    </row>
  </sheetData>
  <sheetProtection sheet="1" formatCells="0"/>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37DA6-EE62-445E-8DF4-F4CBD7BE3AFA}">
  <dimension ref="A1:BV3"/>
  <sheetViews>
    <sheetView workbookViewId="0">
      <selection activeCell="F8" sqref="F8"/>
    </sheetView>
  </sheetViews>
  <sheetFormatPr defaultRowHeight="15" x14ac:dyDescent="0.25"/>
  <cols>
    <col min="1" max="1" width="11.5703125" customWidth="1"/>
    <col min="2" max="2" width="14" customWidth="1"/>
    <col min="12" max="12" width="11.140625" customWidth="1"/>
    <col min="16" max="16" width="11.85546875" customWidth="1"/>
    <col min="17" max="17" width="11.42578125" customWidth="1"/>
    <col min="19" max="19" width="21.140625" customWidth="1"/>
    <col min="20" max="20" width="12.28515625" customWidth="1"/>
    <col min="21" max="21" width="12.42578125" customWidth="1"/>
    <col min="22" max="22" width="12.5703125" customWidth="1"/>
    <col min="23" max="23" width="10.5703125" customWidth="1"/>
    <col min="24" max="24" width="12.5703125" customWidth="1"/>
    <col min="25" max="25" width="16.140625" customWidth="1"/>
    <col min="26" max="27" width="18.140625" customWidth="1"/>
    <col min="28" max="28" width="17.42578125" customWidth="1"/>
    <col min="29" max="29" width="18.140625" customWidth="1"/>
    <col min="30" max="30" width="10.85546875" customWidth="1"/>
    <col min="43" max="43" width="13.7109375" customWidth="1"/>
    <col min="44" max="44" width="13.140625" customWidth="1"/>
    <col min="45" max="45" width="15.140625" customWidth="1"/>
    <col min="49" max="49" width="11.28515625" customWidth="1"/>
    <col min="50" max="50" width="14.85546875" customWidth="1"/>
    <col min="54" max="54" width="11.42578125" customWidth="1"/>
    <col min="55" max="55" width="11.85546875" customWidth="1"/>
    <col min="68" max="68" width="18" customWidth="1"/>
    <col min="69" max="69" width="19" customWidth="1"/>
    <col min="70" max="70" width="17.28515625" customWidth="1"/>
    <col min="74" max="74" width="16.5703125" customWidth="1"/>
  </cols>
  <sheetData>
    <row r="1" spans="1:74" ht="120" x14ac:dyDescent="0.25">
      <c r="A1" s="1119" t="s">
        <v>40</v>
      </c>
      <c r="B1" s="1119" t="s">
        <v>593</v>
      </c>
      <c r="C1" s="1119" t="s">
        <v>876</v>
      </c>
      <c r="D1" s="1119" t="s">
        <v>877</v>
      </c>
      <c r="E1" s="1119" t="s">
        <v>878</v>
      </c>
      <c r="F1" s="1119" t="s">
        <v>879</v>
      </c>
      <c r="G1" s="1119" t="s">
        <v>880</v>
      </c>
      <c r="H1" s="1119" t="s">
        <v>881</v>
      </c>
      <c r="I1" s="1119" t="s">
        <v>882</v>
      </c>
      <c r="J1" s="1119" t="s">
        <v>883</v>
      </c>
      <c r="K1" s="1119" t="s">
        <v>884</v>
      </c>
      <c r="L1" s="1119" t="s">
        <v>834</v>
      </c>
      <c r="M1" s="1119" t="s">
        <v>857</v>
      </c>
      <c r="N1" s="1119" t="s">
        <v>885</v>
      </c>
      <c r="O1" s="1119" t="s">
        <v>886</v>
      </c>
      <c r="P1" s="1119" t="s">
        <v>887</v>
      </c>
      <c r="Q1" s="1119" t="s">
        <v>888</v>
      </c>
      <c r="R1" s="1119" t="s">
        <v>889</v>
      </c>
      <c r="S1" s="1119" t="s">
        <v>712</v>
      </c>
      <c r="T1" s="1120" t="s">
        <v>890</v>
      </c>
      <c r="U1" s="1120" t="s">
        <v>891</v>
      </c>
      <c r="V1" s="1120" t="s">
        <v>892</v>
      </c>
      <c r="W1" s="1119" t="s">
        <v>893</v>
      </c>
      <c r="X1" s="1143" t="s">
        <v>894</v>
      </c>
      <c r="Y1" s="1140" t="s">
        <v>895</v>
      </c>
      <c r="Z1" s="1124" t="s">
        <v>896</v>
      </c>
      <c r="AA1" s="1124" t="s">
        <v>1055</v>
      </c>
      <c r="AB1" s="1124" t="s">
        <v>897</v>
      </c>
      <c r="AC1" s="1124" t="s">
        <v>898</v>
      </c>
      <c r="AD1" s="1125" t="s">
        <v>899</v>
      </c>
      <c r="AE1" s="1126" t="s">
        <v>900</v>
      </c>
      <c r="AF1" s="1127" t="s">
        <v>901</v>
      </c>
      <c r="AG1" s="1128" t="s">
        <v>902</v>
      </c>
      <c r="AH1" s="1128" t="s">
        <v>903</v>
      </c>
      <c r="AI1" s="1129" t="s">
        <v>904</v>
      </c>
      <c r="AJ1" s="1124" t="s">
        <v>905</v>
      </c>
      <c r="AK1" s="1124" t="s">
        <v>906</v>
      </c>
      <c r="AL1" s="1128" t="s">
        <v>907</v>
      </c>
      <c r="AM1" s="1124" t="s">
        <v>908</v>
      </c>
      <c r="AN1" s="1124" t="s">
        <v>909</v>
      </c>
      <c r="AO1" s="1124" t="s">
        <v>910</v>
      </c>
      <c r="AP1" s="1124" t="s">
        <v>911</v>
      </c>
      <c r="AQ1" s="1124" t="s">
        <v>912</v>
      </c>
      <c r="AR1" s="1124" t="s">
        <v>913</v>
      </c>
      <c r="AS1" s="1124" t="s">
        <v>914</v>
      </c>
      <c r="AT1" s="1124" t="s">
        <v>915</v>
      </c>
      <c r="AU1" s="1124" t="s">
        <v>916</v>
      </c>
      <c r="AV1" s="1124" t="s">
        <v>917</v>
      </c>
      <c r="AW1" s="1141" t="s">
        <v>918</v>
      </c>
      <c r="AX1" s="1145" t="s">
        <v>919</v>
      </c>
      <c r="AY1" s="1146" t="s">
        <v>920</v>
      </c>
      <c r="AZ1" s="1146" t="s">
        <v>1056</v>
      </c>
      <c r="BA1" s="1146" t="s">
        <v>921</v>
      </c>
      <c r="BB1" s="1147" t="s">
        <v>922</v>
      </c>
      <c r="BC1" s="1146" t="s">
        <v>923</v>
      </c>
      <c r="BD1" s="1148" t="s">
        <v>924</v>
      </c>
      <c r="BE1" s="1149" t="s">
        <v>925</v>
      </c>
      <c r="BF1" s="1150" t="s">
        <v>926</v>
      </c>
      <c r="BG1" s="1150" t="s">
        <v>927</v>
      </c>
      <c r="BH1" s="1151" t="s">
        <v>928</v>
      </c>
      <c r="BI1" s="1146" t="s">
        <v>929</v>
      </c>
      <c r="BJ1" s="1146" t="s">
        <v>930</v>
      </c>
      <c r="BK1" s="1150" t="s">
        <v>931</v>
      </c>
      <c r="BL1" s="1146" t="s">
        <v>932</v>
      </c>
      <c r="BM1" s="1146" t="s">
        <v>933</v>
      </c>
      <c r="BN1" s="1146" t="s">
        <v>934</v>
      </c>
      <c r="BO1" s="1146" t="s">
        <v>935</v>
      </c>
      <c r="BP1" s="1146" t="s">
        <v>936</v>
      </c>
      <c r="BQ1" s="1146" t="s">
        <v>937</v>
      </c>
      <c r="BR1" s="1146" t="s">
        <v>938</v>
      </c>
      <c r="BS1" s="1146" t="s">
        <v>939</v>
      </c>
      <c r="BT1" s="1146" t="s">
        <v>940</v>
      </c>
      <c r="BU1" s="1146" t="s">
        <v>941</v>
      </c>
      <c r="BV1" s="1146" t="s">
        <v>942</v>
      </c>
    </row>
    <row r="2" spans="1:74" s="1112" customFormat="1" ht="38.25" x14ac:dyDescent="0.2">
      <c r="A2" s="1110">
        <f>Summary!E7</f>
        <v>0</v>
      </c>
      <c r="B2" s="1111">
        <f>Summary!K7</f>
        <v>0</v>
      </c>
      <c r="C2" s="1111">
        <f>Summary!Q7</f>
        <v>0</v>
      </c>
      <c r="D2" s="1111">
        <f>Summary!Q8</f>
        <v>0</v>
      </c>
      <c r="E2" s="1111">
        <f>Summary!Q5</f>
        <v>0</v>
      </c>
      <c r="F2" s="1111">
        <f>Summary!S5</f>
        <v>0</v>
      </c>
      <c r="G2" s="1111">
        <f>Summary!Q6</f>
        <v>0</v>
      </c>
      <c r="H2" s="1110">
        <f>Summary!K6</f>
        <v>0</v>
      </c>
      <c r="I2" s="1113" t="str">
        <f>IFERROR(VLOOKUP(H2,Lists!H2:J7,2,FALSE),"")</f>
        <v/>
      </c>
      <c r="J2" s="1114" t="str">
        <f>IFERROR(VLOOKUP(H2,Lists!H2:J7,3,FALSE),"")</f>
        <v/>
      </c>
      <c r="K2" s="1110">
        <f>Summary!E9</f>
        <v>0</v>
      </c>
      <c r="L2" s="1110">
        <f>Summary!S9</f>
        <v>0</v>
      </c>
      <c r="M2" s="1110">
        <f>Summary!Q4</f>
        <v>0</v>
      </c>
      <c r="N2" s="1115">
        <f>'Dev Costs'!H76</f>
        <v>0</v>
      </c>
      <c r="O2" s="1110">
        <f>Summary!S10</f>
        <v>0</v>
      </c>
      <c r="P2" s="1121"/>
      <c r="Q2" s="1121"/>
      <c r="R2" s="1110">
        <f>Summary!E52</f>
        <v>0</v>
      </c>
      <c r="S2" s="1121"/>
      <c r="T2" s="1137"/>
      <c r="U2" s="1137"/>
      <c r="V2" s="1137"/>
      <c r="W2" s="1138"/>
      <c r="X2" s="1144"/>
      <c r="Y2" s="1130" t="s">
        <v>949</v>
      </c>
      <c r="Z2" s="1121"/>
      <c r="AA2" s="1121"/>
      <c r="AB2" s="1139"/>
      <c r="AC2" s="1121"/>
      <c r="AD2" s="1137"/>
      <c r="AE2" s="1116">
        <f>'Sources &amp; Loan Sizing'!F12</f>
        <v>0</v>
      </c>
      <c r="AF2" s="1117">
        <f>'Sources &amp; Loan Sizing'!G41*100</f>
        <v>80</v>
      </c>
      <c r="AG2" s="1118">
        <f>'Sources &amp; Loan Sizing'!M36</f>
        <v>1.2</v>
      </c>
      <c r="AH2" s="1118">
        <f>'Sources &amp; Loan Sizing'!N36</f>
        <v>1.1000000000000001</v>
      </c>
      <c r="AI2" s="1110">
        <f>'Sources &amp; Loan Sizing'!K94</f>
        <v>0</v>
      </c>
      <c r="AJ2" s="1110">
        <f>'Sources &amp; Loan Sizing'!K93</f>
        <v>30</v>
      </c>
      <c r="AK2" s="1121"/>
      <c r="AL2" s="1122"/>
      <c r="AM2" s="1121" t="s">
        <v>992</v>
      </c>
      <c r="AN2" s="1121"/>
      <c r="AO2" s="1121"/>
      <c r="AP2" s="1121"/>
      <c r="AQ2" s="1121"/>
      <c r="AR2" s="1121"/>
      <c r="AS2" s="1121"/>
      <c r="AT2" s="1110">
        <f>'Inc &amp; Exp'!H39</f>
        <v>0</v>
      </c>
      <c r="AU2" s="1110">
        <f>'Dev Costs'!F69</f>
        <v>3</v>
      </c>
      <c r="AV2" s="1110">
        <f>'Dev Costs'!F70</f>
        <v>3</v>
      </c>
      <c r="AW2" s="1142"/>
      <c r="AX2" s="1130" t="s">
        <v>968</v>
      </c>
      <c r="AY2" s="1121"/>
      <c r="AZ2" s="1121"/>
      <c r="BA2" s="1139"/>
      <c r="BB2" s="1137"/>
      <c r="BC2" s="1121"/>
      <c r="BD2" s="1116">
        <f>'Sources &amp; Loan Sizing'!M90</f>
        <v>0</v>
      </c>
      <c r="BE2" s="1110">
        <f>'Sources &amp; Loan Sizing'!G48*100</f>
        <v>95</v>
      </c>
      <c r="BF2" s="1118">
        <f>'Sources &amp; Loan Sizing'!M48</f>
        <v>1.1000000000000001</v>
      </c>
      <c r="BG2" s="1118">
        <f>'Sources &amp; Loan Sizing'!N48</f>
        <v>1.05</v>
      </c>
      <c r="BH2" s="1110">
        <f>'Sources &amp; Loan Sizing'!M94</f>
        <v>0</v>
      </c>
      <c r="BI2" s="1110">
        <f>'Sources &amp; Loan Sizing'!M93</f>
        <v>0</v>
      </c>
      <c r="BJ2" s="1121"/>
      <c r="BK2" s="1122"/>
      <c r="BL2" s="1123" t="s">
        <v>992</v>
      </c>
      <c r="BM2" s="1121"/>
      <c r="BN2" s="1121"/>
      <c r="BO2" s="1121"/>
      <c r="BP2" s="1121"/>
      <c r="BQ2" s="1121"/>
      <c r="BR2" s="1121"/>
      <c r="BS2" s="1110">
        <f>'Inc &amp; Exp'!H39</f>
        <v>0</v>
      </c>
      <c r="BT2" s="1110">
        <f>'Dev Costs'!F69</f>
        <v>3</v>
      </c>
      <c r="BU2" s="1110">
        <f>'Dev Costs'!F70</f>
        <v>3</v>
      </c>
      <c r="BV2" s="1121"/>
    </row>
    <row r="3" spans="1:74" x14ac:dyDescent="0.25">
      <c r="AW3" s="1131"/>
    </row>
  </sheetData>
  <sheetProtection sheet="1" objects="1" scenarios="1" formatCells="0" formatColumns="0" formatRows="0"/>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41785211-8BF5-4C5A-AB00-100A60662A0D}">
          <x14:formula1>
            <xm:f>Lists!$N$8:$N$12</xm:f>
          </x14:formula1>
          <xm:sqref>P2</xm:sqref>
        </x14:dataValidation>
        <x14:dataValidation type="list" allowBlank="1" showInputMessage="1" showErrorMessage="1" xr:uid="{E0E574DF-8EF0-4F19-9162-50F062B23B8A}">
          <x14:formula1>
            <xm:f>Lists!$H$17:$H$27</xm:f>
          </x14:formula1>
          <xm:sqref>Y2 AX2</xm:sqref>
        </x14:dataValidation>
        <x14:dataValidation type="list" allowBlank="1" showInputMessage="1" showErrorMessage="1" xr:uid="{93DD20A0-0E92-4490-9F3F-4D7DD19ACF51}">
          <x14:formula1>
            <xm:f>Lists!$K$17:$K$20</xm:f>
          </x14:formula1>
          <xm:sqref>Z2:AA2 AY2:AZ2</xm:sqref>
        </x14:dataValidation>
        <x14:dataValidation type="list" allowBlank="1" showInputMessage="1" showErrorMessage="1" xr:uid="{713971CC-DDAA-4068-89DE-2A8E9A202490}">
          <x14:formula1>
            <xm:f>Lists!$H$12:$H$14</xm:f>
          </x14:formula1>
          <xm:sqref>AC2 BC2</xm:sqref>
        </x14:dataValidation>
        <x14:dataValidation type="list" allowBlank="1" showInputMessage="1" showErrorMessage="1" xr:uid="{A09C8450-6D76-4D09-BBC6-0E289EFC3F94}">
          <x14:formula1>
            <xm:f>Lists!$K$22:$K$25</xm:f>
          </x14:formula1>
          <xm:sqref>AK2 BJ2</xm:sqref>
        </x14:dataValidation>
        <x14:dataValidation type="list" allowBlank="1" showInputMessage="1" showErrorMessage="1" xr:uid="{F071B1C7-3A54-4D89-B6AC-BD3D788E7975}">
          <x14:formula1>
            <xm:f>Lists!$I$17:$I$18</xm:f>
          </x14:formula1>
          <xm:sqref>AP2 BO2</xm:sqref>
        </x14:dataValidation>
        <x14:dataValidation type="list" allowBlank="1" showInputMessage="1" showErrorMessage="1" xr:uid="{FB865EA2-0173-4243-9FEA-23373DC5C28D}">
          <x14:formula1>
            <xm:f>Lists!$I$12:$I$14</xm:f>
          </x14:formula1>
          <xm:sqref>AS2 BR2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F64"/>
  <sheetViews>
    <sheetView workbookViewId="0">
      <pane ySplit="1" topLeftCell="A20" activePane="bottomLeft" state="frozen"/>
      <selection pane="bottomLeft" activeCell="B5" sqref="B5"/>
    </sheetView>
  </sheetViews>
  <sheetFormatPr defaultRowHeight="15" x14ac:dyDescent="0.25"/>
  <cols>
    <col min="1" max="1" width="27.28515625" customWidth="1"/>
    <col min="2" max="5" width="15.7109375" customWidth="1"/>
    <col min="6" max="6" width="40.7109375" customWidth="1"/>
  </cols>
  <sheetData>
    <row r="1" spans="1:6" ht="18.75" x14ac:dyDescent="0.3">
      <c r="A1" s="1653" t="s">
        <v>212</v>
      </c>
      <c r="B1" s="1653"/>
      <c r="C1" s="1653"/>
      <c r="D1" s="1653"/>
      <c r="E1" s="1653"/>
      <c r="F1" s="1653"/>
    </row>
    <row r="2" spans="1:6" ht="30" x14ac:dyDescent="0.25">
      <c r="A2" s="146" t="s">
        <v>213</v>
      </c>
      <c r="B2" s="147" t="s">
        <v>214</v>
      </c>
      <c r="C2" s="147" t="s">
        <v>215</v>
      </c>
      <c r="D2" s="147" t="s">
        <v>216</v>
      </c>
      <c r="E2" s="147" t="s">
        <v>217</v>
      </c>
      <c r="F2" s="148" t="s">
        <v>218</v>
      </c>
    </row>
    <row r="3" spans="1:6" x14ac:dyDescent="0.25">
      <c r="A3" s="149" t="s">
        <v>159</v>
      </c>
      <c r="B3" s="150">
        <f>Summary!E52</f>
        <v>0</v>
      </c>
      <c r="C3" s="151">
        <f>B3</f>
        <v>0</v>
      </c>
      <c r="D3" s="151">
        <f>B3</f>
        <v>0</v>
      </c>
      <c r="E3" s="151">
        <f>B3</f>
        <v>0</v>
      </c>
      <c r="F3" s="152"/>
    </row>
    <row r="4" spans="1:6" x14ac:dyDescent="0.25">
      <c r="A4" s="52" t="s">
        <v>219</v>
      </c>
      <c r="B4" s="153" t="e">
        <f>Summary!L16/Summary!E52</f>
        <v>#DIV/0!</v>
      </c>
      <c r="C4" s="154">
        <v>85000</v>
      </c>
      <c r="D4" s="154">
        <v>100000</v>
      </c>
      <c r="E4" s="154">
        <v>105000</v>
      </c>
      <c r="F4" s="152"/>
    </row>
    <row r="5" spans="1:6" x14ac:dyDescent="0.25">
      <c r="A5" s="52" t="s">
        <v>220</v>
      </c>
      <c r="B5" s="150" t="e">
        <f>Summary!L18/Summary!E52</f>
        <v>#DIV/0!</v>
      </c>
      <c r="C5" s="151" t="e">
        <f t="shared" ref="C5:C24" si="0">B5</f>
        <v>#DIV/0!</v>
      </c>
      <c r="D5" s="151" t="e">
        <f t="shared" ref="D5:D24" si="1">B5</f>
        <v>#DIV/0!</v>
      </c>
      <c r="E5" s="151" t="e">
        <f t="shared" ref="E5:E24" si="2">B5</f>
        <v>#DIV/0!</v>
      </c>
      <c r="F5" s="152"/>
    </row>
    <row r="6" spans="1:6" x14ac:dyDescent="0.25">
      <c r="A6" s="52" t="s">
        <v>221</v>
      </c>
      <c r="B6" s="150" t="e">
        <f>Summary!M52/12/Summary!E52</f>
        <v>#DIV/0!</v>
      </c>
      <c r="C6" s="151" t="e">
        <f t="shared" si="0"/>
        <v>#DIV/0!</v>
      </c>
      <c r="D6" s="151" t="e">
        <f t="shared" si="1"/>
        <v>#DIV/0!</v>
      </c>
      <c r="E6" s="151" t="e">
        <f t="shared" si="2"/>
        <v>#DIV/0!</v>
      </c>
      <c r="F6" s="152"/>
    </row>
    <row r="7" spans="1:6" x14ac:dyDescent="0.25">
      <c r="A7" s="52" t="s">
        <v>222</v>
      </c>
      <c r="B7" s="150">
        <f>Summary!I70</f>
        <v>0</v>
      </c>
      <c r="C7" s="151">
        <f t="shared" si="0"/>
        <v>0</v>
      </c>
      <c r="D7" s="151">
        <f t="shared" si="1"/>
        <v>0</v>
      </c>
      <c r="E7" s="151">
        <f t="shared" si="2"/>
        <v>0</v>
      </c>
      <c r="F7" s="152"/>
    </row>
    <row r="8" spans="1:6" x14ac:dyDescent="0.25">
      <c r="A8" s="52" t="s">
        <v>223</v>
      </c>
      <c r="B8" s="155">
        <f>Summary!G73</f>
        <v>0</v>
      </c>
      <c r="C8" s="156">
        <f t="shared" si="0"/>
        <v>0</v>
      </c>
      <c r="D8" s="156">
        <f t="shared" si="1"/>
        <v>0</v>
      </c>
      <c r="E8" s="156">
        <f t="shared" si="2"/>
        <v>0</v>
      </c>
      <c r="F8" s="152"/>
    </row>
    <row r="9" spans="1:6" x14ac:dyDescent="0.25">
      <c r="A9" s="52" t="s">
        <v>224</v>
      </c>
      <c r="B9" s="150">
        <f>Summary!I87</f>
        <v>0</v>
      </c>
      <c r="C9" s="151">
        <f t="shared" si="0"/>
        <v>0</v>
      </c>
      <c r="D9" s="151">
        <f t="shared" si="1"/>
        <v>0</v>
      </c>
      <c r="E9" s="151">
        <f t="shared" si="2"/>
        <v>0</v>
      </c>
      <c r="F9" s="152"/>
    </row>
    <row r="10" spans="1:6" x14ac:dyDescent="0.25">
      <c r="A10" s="52" t="s">
        <v>225</v>
      </c>
      <c r="B10" s="150">
        <f>Summary!I89</f>
        <v>0</v>
      </c>
      <c r="C10" s="151">
        <f t="shared" si="0"/>
        <v>0</v>
      </c>
      <c r="D10" s="151">
        <f t="shared" si="1"/>
        <v>0</v>
      </c>
      <c r="E10" s="151">
        <f t="shared" si="2"/>
        <v>0</v>
      </c>
      <c r="F10" s="152"/>
    </row>
    <row r="11" spans="1:6" x14ac:dyDescent="0.25">
      <c r="A11" s="52" t="s">
        <v>49</v>
      </c>
      <c r="B11" s="150">
        <f>Summary!I90</f>
        <v>0</v>
      </c>
      <c r="C11" s="151">
        <f t="shared" si="0"/>
        <v>0</v>
      </c>
      <c r="D11" s="151">
        <f t="shared" si="1"/>
        <v>0</v>
      </c>
      <c r="E11" s="151">
        <f t="shared" si="2"/>
        <v>0</v>
      </c>
      <c r="F11" s="152"/>
    </row>
    <row r="12" spans="1:6" x14ac:dyDescent="0.25">
      <c r="A12" s="52" t="s">
        <v>226</v>
      </c>
      <c r="B12" s="157">
        <f>Summary!G108</f>
        <v>7.0000000000000007E-2</v>
      </c>
      <c r="C12" s="158">
        <f t="shared" si="0"/>
        <v>7.0000000000000007E-2</v>
      </c>
      <c r="D12" s="158">
        <f t="shared" si="1"/>
        <v>7.0000000000000007E-2</v>
      </c>
      <c r="E12" s="158">
        <f t="shared" si="2"/>
        <v>7.0000000000000007E-2</v>
      </c>
      <c r="F12" s="152"/>
    </row>
    <row r="13" spans="1:6" x14ac:dyDescent="0.25">
      <c r="A13" s="52" t="s">
        <v>227</v>
      </c>
      <c r="B13" s="155">
        <f>Summary!G112</f>
        <v>0</v>
      </c>
      <c r="C13" s="156">
        <f t="shared" si="0"/>
        <v>0</v>
      </c>
      <c r="D13" s="156">
        <f t="shared" si="1"/>
        <v>0</v>
      </c>
      <c r="E13" s="156">
        <f t="shared" si="2"/>
        <v>0</v>
      </c>
      <c r="F13" s="152"/>
    </row>
    <row r="14" spans="1:6" x14ac:dyDescent="0.25">
      <c r="A14" s="52" t="s">
        <v>228</v>
      </c>
      <c r="B14" s="171">
        <v>0.75</v>
      </c>
      <c r="C14" s="156">
        <f t="shared" si="0"/>
        <v>0.75</v>
      </c>
      <c r="D14" s="156">
        <f t="shared" si="1"/>
        <v>0.75</v>
      </c>
      <c r="E14" s="156">
        <f t="shared" si="2"/>
        <v>0.75</v>
      </c>
      <c r="F14" s="152"/>
    </row>
    <row r="15" spans="1:6" x14ac:dyDescent="0.25">
      <c r="A15" s="52" t="s">
        <v>229</v>
      </c>
      <c r="B15" s="159">
        <f>Summary!L108</f>
        <v>1.2</v>
      </c>
      <c r="C15" s="160">
        <f t="shared" si="0"/>
        <v>1.2</v>
      </c>
      <c r="D15" s="160">
        <f t="shared" si="1"/>
        <v>1.2</v>
      </c>
      <c r="E15" s="160">
        <f t="shared" si="2"/>
        <v>1.2</v>
      </c>
      <c r="F15" s="152"/>
    </row>
    <row r="16" spans="1:6" x14ac:dyDescent="0.25">
      <c r="A16" s="52" t="s">
        <v>230</v>
      </c>
      <c r="B16" s="157" t="str">
        <f>Summary!J156</f>
        <v>1st</v>
      </c>
      <c r="C16" s="158" t="str">
        <f t="shared" si="0"/>
        <v>1st</v>
      </c>
      <c r="D16" s="158" t="str">
        <f t="shared" si="1"/>
        <v>1st</v>
      </c>
      <c r="E16" s="158" t="str">
        <f t="shared" si="2"/>
        <v>1st</v>
      </c>
      <c r="F16" s="152"/>
    </row>
    <row r="17" spans="1:6" x14ac:dyDescent="0.25">
      <c r="A17" s="52" t="s">
        <v>231</v>
      </c>
      <c r="B17" s="150">
        <f>Summary!J157</f>
        <v>0</v>
      </c>
      <c r="C17" s="151">
        <f t="shared" si="0"/>
        <v>0</v>
      </c>
      <c r="D17" s="151">
        <f t="shared" si="1"/>
        <v>0</v>
      </c>
      <c r="E17" s="151">
        <f t="shared" si="2"/>
        <v>0</v>
      </c>
      <c r="F17" s="152"/>
    </row>
    <row r="18" spans="1:6" x14ac:dyDescent="0.25">
      <c r="A18" s="52" t="s">
        <v>232</v>
      </c>
      <c r="B18" s="172">
        <v>0.01</v>
      </c>
      <c r="C18" s="158">
        <f t="shared" si="0"/>
        <v>0.01</v>
      </c>
      <c r="D18" s="158">
        <f t="shared" si="1"/>
        <v>0.01</v>
      </c>
      <c r="E18" s="158">
        <f t="shared" si="2"/>
        <v>0.01</v>
      </c>
      <c r="F18" s="152"/>
    </row>
    <row r="19" spans="1:6" x14ac:dyDescent="0.25">
      <c r="A19" s="52" t="s">
        <v>233</v>
      </c>
      <c r="B19" s="157" t="str">
        <f>Summary!L156</f>
        <v>2nd</v>
      </c>
      <c r="C19" s="158" t="str">
        <f t="shared" si="0"/>
        <v>2nd</v>
      </c>
      <c r="D19" s="158" t="str">
        <f t="shared" si="1"/>
        <v>2nd</v>
      </c>
      <c r="E19" s="158" t="str">
        <f t="shared" si="2"/>
        <v>2nd</v>
      </c>
      <c r="F19" s="152"/>
    </row>
    <row r="20" spans="1:6" x14ac:dyDescent="0.25">
      <c r="A20" s="52" t="s">
        <v>234</v>
      </c>
      <c r="B20" s="150">
        <f>Summary!L157</f>
        <v>0</v>
      </c>
      <c r="C20" s="151">
        <f>B20</f>
        <v>0</v>
      </c>
      <c r="D20" s="151">
        <f t="shared" si="1"/>
        <v>0</v>
      </c>
      <c r="E20" s="151">
        <f t="shared" si="2"/>
        <v>0</v>
      </c>
      <c r="F20" s="152"/>
    </row>
    <row r="21" spans="1:6" x14ac:dyDescent="0.25">
      <c r="A21" s="52" t="s">
        <v>235</v>
      </c>
      <c r="B21" s="173">
        <v>5000</v>
      </c>
      <c r="C21" s="161">
        <f t="shared" si="0"/>
        <v>5000</v>
      </c>
      <c r="D21" s="161">
        <f t="shared" si="1"/>
        <v>5000</v>
      </c>
      <c r="E21" s="161">
        <f t="shared" si="2"/>
        <v>5000</v>
      </c>
      <c r="F21" s="152"/>
    </row>
    <row r="22" spans="1:6" x14ac:dyDescent="0.25">
      <c r="A22" s="52" t="s">
        <v>236</v>
      </c>
      <c r="B22" s="150">
        <f>Summary!L33-Summary!L16-Summary!L18-Summary!L29-Summary!L30</f>
        <v>0</v>
      </c>
      <c r="C22" s="151">
        <f t="shared" si="0"/>
        <v>0</v>
      </c>
      <c r="D22" s="151">
        <f t="shared" si="1"/>
        <v>0</v>
      </c>
      <c r="E22" s="151">
        <f t="shared" si="2"/>
        <v>0</v>
      </c>
      <c r="F22" s="152"/>
    </row>
    <row r="23" spans="1:6" x14ac:dyDescent="0.25">
      <c r="A23" s="52" t="s">
        <v>237</v>
      </c>
      <c r="B23" s="173">
        <v>25000</v>
      </c>
      <c r="C23" s="151">
        <f t="shared" si="0"/>
        <v>25000</v>
      </c>
      <c r="D23" s="151">
        <f t="shared" si="1"/>
        <v>25000</v>
      </c>
      <c r="E23" s="151">
        <f t="shared" si="2"/>
        <v>25000</v>
      </c>
      <c r="F23" s="152"/>
    </row>
    <row r="24" spans="1:6" x14ac:dyDescent="0.25">
      <c r="A24" s="52" t="s">
        <v>177</v>
      </c>
      <c r="B24" s="172">
        <v>0.03</v>
      </c>
      <c r="C24" s="158">
        <f t="shared" si="0"/>
        <v>0.03</v>
      </c>
      <c r="D24" s="158">
        <f t="shared" si="1"/>
        <v>0.03</v>
      </c>
      <c r="E24" s="158">
        <f t="shared" si="2"/>
        <v>0.03</v>
      </c>
      <c r="F24" s="152"/>
    </row>
    <row r="25" spans="1:6" x14ac:dyDescent="0.25">
      <c r="A25" s="52"/>
      <c r="B25" s="150"/>
      <c r="C25" s="150"/>
      <c r="D25" s="150"/>
      <c r="E25" s="150"/>
      <c r="F25" s="152"/>
    </row>
    <row r="26" spans="1:6" x14ac:dyDescent="0.25">
      <c r="A26" s="162" t="s">
        <v>238</v>
      </c>
      <c r="B26" s="163"/>
      <c r="C26" s="163"/>
      <c r="D26" s="163"/>
      <c r="E26" s="163"/>
      <c r="F26" s="152"/>
    </row>
    <row r="27" spans="1:6" x14ac:dyDescent="0.25">
      <c r="A27" s="52" t="s">
        <v>37</v>
      </c>
      <c r="B27" s="163" t="e">
        <f>MIN(B62:B64)</f>
        <v>#DIV/0!</v>
      </c>
      <c r="C27" s="163" t="e">
        <f t="shared" ref="C27:E27" si="3">MIN(C62:C64)</f>
        <v>#DIV/0!</v>
      </c>
      <c r="D27" s="163" t="e">
        <f t="shared" si="3"/>
        <v>#DIV/0!</v>
      </c>
      <c r="E27" s="163" t="e">
        <f t="shared" si="3"/>
        <v>#DIV/0!</v>
      </c>
      <c r="F27" s="152"/>
    </row>
    <row r="28" spans="1:6" x14ac:dyDescent="0.25">
      <c r="A28" s="52" t="s">
        <v>177</v>
      </c>
      <c r="B28" s="163" t="e">
        <f>B35*B24</f>
        <v>#DIV/0!</v>
      </c>
      <c r="C28" s="163">
        <f t="shared" ref="C28:E28" si="4">C35*C24</f>
        <v>0</v>
      </c>
      <c r="D28" s="163">
        <f t="shared" si="4"/>
        <v>0</v>
      </c>
      <c r="E28" s="163">
        <f t="shared" si="4"/>
        <v>0</v>
      </c>
      <c r="F28" s="152"/>
    </row>
    <row r="29" spans="1:6" x14ac:dyDescent="0.25">
      <c r="A29" s="52" t="s">
        <v>239</v>
      </c>
      <c r="B29" s="163">
        <f>B23*B3</f>
        <v>0</v>
      </c>
      <c r="C29" s="163">
        <f t="shared" ref="C29:E29" si="5">C23*C3</f>
        <v>0</v>
      </c>
      <c r="D29" s="163">
        <f t="shared" si="5"/>
        <v>0</v>
      </c>
      <c r="E29" s="163">
        <f t="shared" si="5"/>
        <v>0</v>
      </c>
      <c r="F29" s="152"/>
    </row>
    <row r="30" spans="1:6" x14ac:dyDescent="0.25">
      <c r="A30" s="52" t="s">
        <v>240</v>
      </c>
      <c r="B30" s="163" t="e">
        <f>MIN(B38-SUM(B27:B29),300000)</f>
        <v>#DIV/0!</v>
      </c>
      <c r="C30" s="161" t="e">
        <f t="shared" ref="C30:E30" si="6">MIN(C38-SUM(C27:C29),300000)</f>
        <v>#DIV/0!</v>
      </c>
      <c r="D30" s="161" t="e">
        <f>MIN(D38-SUM(D27:D29),300000)</f>
        <v>#DIV/0!</v>
      </c>
      <c r="E30" s="161" t="e">
        <f t="shared" si="6"/>
        <v>#DIV/0!</v>
      </c>
      <c r="F30" s="152"/>
    </row>
    <row r="31" spans="1:6" x14ac:dyDescent="0.25">
      <c r="A31" s="164" t="s">
        <v>241</v>
      </c>
      <c r="B31" s="165" t="e">
        <f>B38-SUM(B27:B30)</f>
        <v>#DIV/0!</v>
      </c>
      <c r="C31" s="165" t="e">
        <f>C38-SUM(C27:C30)</f>
        <v>#DIV/0!</v>
      </c>
      <c r="D31" s="165" t="e">
        <f>D38-SUM(D27:D30)</f>
        <v>#DIV/0!</v>
      </c>
      <c r="E31" s="165" t="e">
        <f>E38-SUM(E27:E30)</f>
        <v>#DIV/0!</v>
      </c>
      <c r="F31" s="152"/>
    </row>
    <row r="32" spans="1:6" x14ac:dyDescent="0.25">
      <c r="A32" s="162" t="s">
        <v>88</v>
      </c>
      <c r="B32" s="166" t="e">
        <f>SUM(B27:B31)</f>
        <v>#DIV/0!</v>
      </c>
      <c r="C32" s="166" t="e">
        <f t="shared" ref="C32:E32" si="7">SUM(C27:C31)</f>
        <v>#DIV/0!</v>
      </c>
      <c r="D32" s="166" t="e">
        <f t="shared" si="7"/>
        <v>#DIV/0!</v>
      </c>
      <c r="E32" s="166" t="e">
        <f t="shared" si="7"/>
        <v>#DIV/0!</v>
      </c>
      <c r="F32" s="152"/>
    </row>
    <row r="33" spans="1:6" x14ac:dyDescent="0.25">
      <c r="A33" s="52"/>
      <c r="B33" s="163"/>
      <c r="C33" s="163"/>
      <c r="D33" s="163"/>
      <c r="E33" s="163"/>
      <c r="F33" s="152"/>
    </row>
    <row r="34" spans="1:6" x14ac:dyDescent="0.25">
      <c r="A34" s="162" t="s">
        <v>242</v>
      </c>
      <c r="B34" s="163"/>
      <c r="C34" s="163"/>
      <c r="D34" s="163"/>
      <c r="E34" s="163"/>
      <c r="F34" s="152"/>
    </row>
    <row r="35" spans="1:6" x14ac:dyDescent="0.25">
      <c r="A35" s="52" t="s">
        <v>178</v>
      </c>
      <c r="B35" s="163" t="e">
        <f>B4*B3</f>
        <v>#DIV/0!</v>
      </c>
      <c r="C35" s="163">
        <f t="shared" ref="C35:E35" si="8">C4*C3</f>
        <v>0</v>
      </c>
      <c r="D35" s="163">
        <f t="shared" si="8"/>
        <v>0</v>
      </c>
      <c r="E35" s="163">
        <f t="shared" si="8"/>
        <v>0</v>
      </c>
      <c r="F35" s="152"/>
    </row>
    <row r="36" spans="1:6" x14ac:dyDescent="0.25">
      <c r="A36" s="52" t="s">
        <v>243</v>
      </c>
      <c r="B36" s="163" t="e">
        <f>B5*B3</f>
        <v>#DIV/0!</v>
      </c>
      <c r="C36" s="163" t="e">
        <f t="shared" ref="C36:E36" si="9">C5*C3</f>
        <v>#DIV/0!</v>
      </c>
      <c r="D36" s="163" t="e">
        <f t="shared" si="9"/>
        <v>#DIV/0!</v>
      </c>
      <c r="E36" s="163" t="e">
        <f t="shared" si="9"/>
        <v>#DIV/0!</v>
      </c>
      <c r="F36" s="152"/>
    </row>
    <row r="37" spans="1:6" x14ac:dyDescent="0.25">
      <c r="A37" s="52" t="s">
        <v>244</v>
      </c>
      <c r="B37" s="163" t="e">
        <f>B18*B27+B21+B22</f>
        <v>#DIV/0!</v>
      </c>
      <c r="C37" s="163" t="e">
        <f t="shared" ref="C37:E37" si="10">C18*C27+C21+C22</f>
        <v>#DIV/0!</v>
      </c>
      <c r="D37" s="163" t="e">
        <f t="shared" si="10"/>
        <v>#DIV/0!</v>
      </c>
      <c r="E37" s="163" t="e">
        <f t="shared" si="10"/>
        <v>#DIV/0!</v>
      </c>
      <c r="F37" s="152"/>
    </row>
    <row r="38" spans="1:6" x14ac:dyDescent="0.25">
      <c r="A38" s="162" t="s">
        <v>39</v>
      </c>
      <c r="B38" s="166" t="e">
        <f>SUM(B35:B37)</f>
        <v>#DIV/0!</v>
      </c>
      <c r="C38" s="166" t="e">
        <f t="shared" ref="C38:E38" si="11">SUM(C35:C37)</f>
        <v>#DIV/0!</v>
      </c>
      <c r="D38" s="166" t="e">
        <f t="shared" si="11"/>
        <v>#DIV/0!</v>
      </c>
      <c r="E38" s="166" t="e">
        <f t="shared" si="11"/>
        <v>#DIV/0!</v>
      </c>
      <c r="F38" s="152"/>
    </row>
    <row r="39" spans="1:6" x14ac:dyDescent="0.25">
      <c r="A39" s="52"/>
      <c r="B39" s="163"/>
      <c r="C39" s="163"/>
      <c r="D39" s="163"/>
      <c r="E39" s="163"/>
      <c r="F39" s="152"/>
    </row>
    <row r="40" spans="1:6" x14ac:dyDescent="0.25">
      <c r="A40" s="162" t="s">
        <v>245</v>
      </c>
      <c r="B40" s="163"/>
      <c r="C40" s="163"/>
      <c r="D40" s="163"/>
      <c r="E40" s="163"/>
      <c r="F40" s="152"/>
    </row>
    <row r="41" spans="1:6" x14ac:dyDescent="0.25">
      <c r="A41" s="52" t="s">
        <v>246</v>
      </c>
      <c r="B41" s="163" t="e">
        <f>B6*B3*12</f>
        <v>#DIV/0!</v>
      </c>
      <c r="C41" s="163" t="e">
        <f t="shared" ref="C41:E41" si="12">C6*C3*12</f>
        <v>#DIV/0!</v>
      </c>
      <c r="D41" s="163" t="e">
        <f t="shared" si="12"/>
        <v>#DIV/0!</v>
      </c>
      <c r="E41" s="163" t="e">
        <f t="shared" si="12"/>
        <v>#DIV/0!</v>
      </c>
      <c r="F41" s="152"/>
    </row>
    <row r="42" spans="1:6" x14ac:dyDescent="0.25">
      <c r="A42" s="52" t="s">
        <v>247</v>
      </c>
      <c r="B42" s="163">
        <f>B7*B3</f>
        <v>0</v>
      </c>
      <c r="C42" s="163">
        <f t="shared" ref="C42:E42" si="13">C7*C3</f>
        <v>0</v>
      </c>
      <c r="D42" s="163">
        <f t="shared" si="13"/>
        <v>0</v>
      </c>
      <c r="E42" s="163">
        <f t="shared" si="13"/>
        <v>0</v>
      </c>
      <c r="F42" s="152"/>
    </row>
    <row r="43" spans="1:6" x14ac:dyDescent="0.25">
      <c r="A43" s="52" t="s">
        <v>248</v>
      </c>
      <c r="B43" s="163" t="e">
        <f>-SUM(B41:B42)*B8</f>
        <v>#DIV/0!</v>
      </c>
      <c r="C43" s="163" t="e">
        <f t="shared" ref="C43:E43" si="14">-SUM(C41:C42)*C8</f>
        <v>#DIV/0!</v>
      </c>
      <c r="D43" s="163" t="e">
        <f t="shared" si="14"/>
        <v>#DIV/0!</v>
      </c>
      <c r="E43" s="163" t="e">
        <f t="shared" si="14"/>
        <v>#DIV/0!</v>
      </c>
      <c r="F43" s="152"/>
    </row>
    <row r="44" spans="1:6" x14ac:dyDescent="0.25">
      <c r="A44" s="162" t="s">
        <v>30</v>
      </c>
      <c r="B44" s="166" t="e">
        <f>SUM(B41:B43)</f>
        <v>#DIV/0!</v>
      </c>
      <c r="C44" s="166" t="e">
        <f t="shared" ref="C44:E44" si="15">SUM(C41:C43)</f>
        <v>#DIV/0!</v>
      </c>
      <c r="D44" s="166" t="e">
        <f t="shared" si="15"/>
        <v>#DIV/0!</v>
      </c>
      <c r="E44" s="166" t="e">
        <f t="shared" si="15"/>
        <v>#DIV/0!</v>
      </c>
      <c r="F44" s="152"/>
    </row>
    <row r="45" spans="1:6" x14ac:dyDescent="0.25">
      <c r="A45" s="52"/>
      <c r="B45" s="163"/>
      <c r="C45" s="163"/>
      <c r="D45" s="163"/>
      <c r="E45" s="163"/>
      <c r="F45" s="152"/>
    </row>
    <row r="46" spans="1:6" x14ac:dyDescent="0.25">
      <c r="A46" s="52" t="s">
        <v>249</v>
      </c>
      <c r="B46" s="163">
        <f>B9*B3</f>
        <v>0</v>
      </c>
      <c r="C46" s="163">
        <f t="shared" ref="C46:E46" si="16">C9*C3</f>
        <v>0</v>
      </c>
      <c r="D46" s="163">
        <f t="shared" si="16"/>
        <v>0</v>
      </c>
      <c r="E46" s="163">
        <f t="shared" si="16"/>
        <v>0</v>
      </c>
      <c r="F46" s="152"/>
    </row>
    <row r="47" spans="1:6" x14ac:dyDescent="0.25">
      <c r="A47" s="52" t="s">
        <v>250</v>
      </c>
      <c r="B47" s="163">
        <f>B10*B3</f>
        <v>0</v>
      </c>
      <c r="C47" s="163">
        <f t="shared" ref="C47:E47" si="17">C10*C3</f>
        <v>0</v>
      </c>
      <c r="D47" s="163">
        <f t="shared" si="17"/>
        <v>0</v>
      </c>
      <c r="E47" s="163">
        <f t="shared" si="17"/>
        <v>0</v>
      </c>
      <c r="F47" s="152"/>
    </row>
    <row r="48" spans="1:6" x14ac:dyDescent="0.25">
      <c r="A48" s="52" t="s">
        <v>23</v>
      </c>
      <c r="B48" s="163">
        <f>B11*B3</f>
        <v>0</v>
      </c>
      <c r="C48" s="163">
        <f t="shared" ref="C48:E48" si="18">C11*C3</f>
        <v>0</v>
      </c>
      <c r="D48" s="163">
        <f t="shared" si="18"/>
        <v>0</v>
      </c>
      <c r="E48" s="163">
        <f t="shared" si="18"/>
        <v>0</v>
      </c>
      <c r="F48" s="152"/>
    </row>
    <row r="49" spans="1:6" x14ac:dyDescent="0.25">
      <c r="A49" s="162" t="s">
        <v>131</v>
      </c>
      <c r="B49" s="166">
        <f>SUM(B46:B48)</f>
        <v>0</v>
      </c>
      <c r="C49" s="166">
        <f t="shared" ref="C49:E49" si="19">SUM(C46:C48)</f>
        <v>0</v>
      </c>
      <c r="D49" s="166">
        <f t="shared" si="19"/>
        <v>0</v>
      </c>
      <c r="E49" s="166">
        <f t="shared" si="19"/>
        <v>0</v>
      </c>
      <c r="F49" s="152"/>
    </row>
    <row r="50" spans="1:6" x14ac:dyDescent="0.25">
      <c r="A50" s="52"/>
      <c r="B50" s="163"/>
      <c r="C50" s="163"/>
      <c r="D50" s="163"/>
      <c r="E50" s="163"/>
      <c r="F50" s="152"/>
    </row>
    <row r="51" spans="1:6" x14ac:dyDescent="0.25">
      <c r="A51" s="162" t="s">
        <v>251</v>
      </c>
      <c r="B51" s="166" t="e">
        <f>B44-B49</f>
        <v>#DIV/0!</v>
      </c>
      <c r="C51" s="166" t="e">
        <f t="shared" ref="C51:E51" si="20">C44-C49</f>
        <v>#DIV/0!</v>
      </c>
      <c r="D51" s="166" t="e">
        <f t="shared" si="20"/>
        <v>#DIV/0!</v>
      </c>
      <c r="E51" s="166" t="e">
        <f t="shared" si="20"/>
        <v>#DIV/0!</v>
      </c>
      <c r="F51" s="152"/>
    </row>
    <row r="52" spans="1:6" x14ac:dyDescent="0.25">
      <c r="A52" s="52"/>
      <c r="B52" s="163"/>
      <c r="C52" s="163"/>
      <c r="D52" s="163"/>
      <c r="E52" s="163"/>
      <c r="F52" s="152"/>
    </row>
    <row r="53" spans="1:6" x14ac:dyDescent="0.25">
      <c r="A53" s="52" t="s">
        <v>252</v>
      </c>
      <c r="B53" s="163" t="e">
        <f>PMT(B16/12,B17*12,B27,)*12</f>
        <v>#VALUE!</v>
      </c>
      <c r="C53" s="163" t="e">
        <f t="shared" ref="C53:E53" si="21">PMT(C16/12,C17*12,C27,)*12</f>
        <v>#VALUE!</v>
      </c>
      <c r="D53" s="163" t="e">
        <f t="shared" si="21"/>
        <v>#VALUE!</v>
      </c>
      <c r="E53" s="163" t="e">
        <f t="shared" si="21"/>
        <v>#VALUE!</v>
      </c>
      <c r="F53" s="152"/>
    </row>
    <row r="54" spans="1:6" x14ac:dyDescent="0.25">
      <c r="A54" s="52" t="s">
        <v>253</v>
      </c>
      <c r="B54" s="163" t="e">
        <f>PMT(B19/12,B20*12,B30,)*12</f>
        <v>#VALUE!</v>
      </c>
      <c r="C54" s="163" t="e">
        <f t="shared" ref="C54:E54" si="22">PMT(C19/12,C20*12,C30,)*12</f>
        <v>#VALUE!</v>
      </c>
      <c r="D54" s="163" t="e">
        <f t="shared" si="22"/>
        <v>#VALUE!</v>
      </c>
      <c r="E54" s="163" t="e">
        <f t="shared" si="22"/>
        <v>#VALUE!</v>
      </c>
      <c r="F54" s="152"/>
    </row>
    <row r="55" spans="1:6" x14ac:dyDescent="0.25">
      <c r="A55" s="52"/>
      <c r="B55" s="163"/>
      <c r="C55" s="163"/>
      <c r="D55" s="163"/>
      <c r="E55" s="163"/>
      <c r="F55" s="152"/>
    </row>
    <row r="56" spans="1:6" x14ac:dyDescent="0.25">
      <c r="A56" s="162" t="s">
        <v>116</v>
      </c>
      <c r="B56" s="166" t="e">
        <f>B51+B53+B54</f>
        <v>#DIV/0!</v>
      </c>
      <c r="C56" s="166" t="e">
        <f t="shared" ref="C56:E56" si="23">C51+C53+C54</f>
        <v>#DIV/0!</v>
      </c>
      <c r="D56" s="166" t="e">
        <f t="shared" si="23"/>
        <v>#DIV/0!</v>
      </c>
      <c r="E56" s="166" t="e">
        <f t="shared" si="23"/>
        <v>#DIV/0!</v>
      </c>
      <c r="F56" s="152"/>
    </row>
    <row r="57" spans="1:6" x14ac:dyDescent="0.25">
      <c r="A57" s="52" t="s">
        <v>254</v>
      </c>
      <c r="B57" s="167" t="e">
        <f>B51/-B53</f>
        <v>#DIV/0!</v>
      </c>
      <c r="C57" s="167" t="e">
        <f t="shared" ref="C57:E57" si="24">C51/-C53</f>
        <v>#DIV/0!</v>
      </c>
      <c r="D57" s="167" t="e">
        <f t="shared" si="24"/>
        <v>#DIV/0!</v>
      </c>
      <c r="E57" s="167" t="e">
        <f t="shared" si="24"/>
        <v>#DIV/0!</v>
      </c>
      <c r="F57" s="152"/>
    </row>
    <row r="58" spans="1:6" x14ac:dyDescent="0.25">
      <c r="A58" s="52" t="s">
        <v>255</v>
      </c>
      <c r="B58" s="167" t="e">
        <f>-B51/(B53+B54)</f>
        <v>#DIV/0!</v>
      </c>
      <c r="C58" s="167" t="e">
        <f t="shared" ref="C58:E58" si="25">-C51/(C53+C54)</f>
        <v>#DIV/0!</v>
      </c>
      <c r="D58" s="167" t="e">
        <f t="shared" si="25"/>
        <v>#DIV/0!</v>
      </c>
      <c r="E58" s="167" t="e">
        <f t="shared" si="25"/>
        <v>#DIV/0!</v>
      </c>
      <c r="F58" s="152"/>
    </row>
    <row r="59" spans="1:6" x14ac:dyDescent="0.25">
      <c r="A59" s="52" t="s">
        <v>256</v>
      </c>
      <c r="B59" s="168" t="e">
        <f>B56/B28</f>
        <v>#DIV/0!</v>
      </c>
      <c r="C59" s="168" t="e">
        <f t="shared" ref="C59:E59" si="26">C56/C28</f>
        <v>#DIV/0!</v>
      </c>
      <c r="D59" s="168" t="e">
        <f t="shared" si="26"/>
        <v>#DIV/0!</v>
      </c>
      <c r="E59" s="168" t="e">
        <f t="shared" si="26"/>
        <v>#DIV/0!</v>
      </c>
      <c r="F59" s="152"/>
    </row>
    <row r="60" spans="1:6" x14ac:dyDescent="0.25">
      <c r="A60" s="52"/>
      <c r="B60" s="163"/>
      <c r="C60" s="163"/>
      <c r="D60" s="163"/>
      <c r="E60" s="163"/>
      <c r="F60" s="152"/>
    </row>
    <row r="61" spans="1:6" x14ac:dyDescent="0.25">
      <c r="A61" s="169" t="s">
        <v>257</v>
      </c>
      <c r="B61" s="170" t="e">
        <f>ROUND(B51/B12,-3)</f>
        <v>#DIV/0!</v>
      </c>
      <c r="C61" s="170" t="e">
        <f t="shared" ref="C61:E61" si="27">ROUND(C51/C12,-3)</f>
        <v>#DIV/0!</v>
      </c>
      <c r="D61" s="170" t="e">
        <f t="shared" si="27"/>
        <v>#DIV/0!</v>
      </c>
      <c r="E61" s="170" t="e">
        <f t="shared" si="27"/>
        <v>#DIV/0!</v>
      </c>
      <c r="F61" s="152"/>
    </row>
    <row r="62" spans="1:6" x14ac:dyDescent="0.25">
      <c r="A62" s="169" t="s">
        <v>258</v>
      </c>
      <c r="B62" s="170" t="e">
        <f>B61*B13</f>
        <v>#DIV/0!</v>
      </c>
      <c r="C62" s="170" t="e">
        <f t="shared" ref="C62:E62" si="28">C61*C13</f>
        <v>#DIV/0!</v>
      </c>
      <c r="D62" s="170" t="e">
        <f t="shared" si="28"/>
        <v>#DIV/0!</v>
      </c>
      <c r="E62" s="170" t="e">
        <f t="shared" si="28"/>
        <v>#DIV/0!</v>
      </c>
      <c r="F62" s="152"/>
    </row>
    <row r="63" spans="1:6" x14ac:dyDescent="0.25">
      <c r="A63" s="169" t="s">
        <v>259</v>
      </c>
      <c r="B63" s="170" t="e">
        <f>B35*B14</f>
        <v>#DIV/0!</v>
      </c>
      <c r="C63" s="170">
        <f t="shared" ref="C63:E63" si="29">C35*C14</f>
        <v>0</v>
      </c>
      <c r="D63" s="170">
        <f t="shared" si="29"/>
        <v>0</v>
      </c>
      <c r="E63" s="170">
        <f t="shared" si="29"/>
        <v>0</v>
      </c>
      <c r="F63" s="152"/>
    </row>
    <row r="64" spans="1:6" x14ac:dyDescent="0.25">
      <c r="A64" s="169" t="s">
        <v>260</v>
      </c>
      <c r="B64" s="170" t="e">
        <f>ROUND(PV(B16/12,360,-B51/12,),-3)</f>
        <v>#VALUE!</v>
      </c>
      <c r="C64" s="170" t="e">
        <f t="shared" ref="C64:E64" si="30">ROUND(PV(C16/12,360,-C51/12,),-3)</f>
        <v>#VALUE!</v>
      </c>
      <c r="D64" s="170" t="e">
        <f t="shared" si="30"/>
        <v>#VALUE!</v>
      </c>
      <c r="E64" s="170" t="e">
        <f t="shared" si="30"/>
        <v>#VALUE!</v>
      </c>
      <c r="F64" s="152"/>
    </row>
  </sheetData>
  <mergeCells count="1">
    <mergeCell ref="A1:F1"/>
  </mergeCells>
  <pageMargins left="0.7" right="0.7" top="0.75" bottom="0.75" header="0.3" footer="0.3"/>
  <pageSetup scale="69" orientation="portrait" horizontalDpi="4294967293" verticalDpi="4294967293"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0F796-AA1E-4A5A-82B6-C6BF1FE624B1}">
  <sheetPr codeName="Sheet15"/>
  <dimension ref="A1:N27"/>
  <sheetViews>
    <sheetView topLeftCell="A10" workbookViewId="0">
      <selection activeCell="N20" sqref="N20"/>
    </sheetView>
  </sheetViews>
  <sheetFormatPr defaultRowHeight="15" x14ac:dyDescent="0.25"/>
  <cols>
    <col min="3" max="3" width="10.7109375" bestFit="1" customWidth="1"/>
    <col min="8" max="8" width="28.5703125" customWidth="1"/>
    <col min="9" max="9" width="13.5703125" customWidth="1"/>
  </cols>
  <sheetData>
    <row r="1" spans="1:14" x14ac:dyDescent="0.25">
      <c r="A1" t="s">
        <v>277</v>
      </c>
      <c r="C1" t="s">
        <v>282</v>
      </c>
      <c r="D1">
        <v>12</v>
      </c>
      <c r="F1" t="s">
        <v>189</v>
      </c>
      <c r="H1" s="1" t="s">
        <v>881</v>
      </c>
      <c r="I1" s="1102" t="s">
        <v>952</v>
      </c>
      <c r="J1" s="1102" t="s">
        <v>953</v>
      </c>
      <c r="N1" s="1" t="s">
        <v>834</v>
      </c>
    </row>
    <row r="2" spans="1:14" x14ac:dyDescent="0.25">
      <c r="A2" t="s">
        <v>278</v>
      </c>
      <c r="C2" t="s">
        <v>283</v>
      </c>
      <c r="D2">
        <v>4</v>
      </c>
      <c r="F2" s="313">
        <v>0.3</v>
      </c>
      <c r="H2" t="s">
        <v>314</v>
      </c>
      <c r="I2" t="s">
        <v>954</v>
      </c>
      <c r="J2" s="624" t="s">
        <v>955</v>
      </c>
      <c r="N2" t="s">
        <v>943</v>
      </c>
    </row>
    <row r="3" spans="1:14" x14ac:dyDescent="0.25">
      <c r="C3" t="s">
        <v>286</v>
      </c>
      <c r="D3">
        <v>2</v>
      </c>
      <c r="F3" s="313">
        <v>0.4</v>
      </c>
      <c r="H3" t="s">
        <v>866</v>
      </c>
      <c r="I3" t="s">
        <v>956</v>
      </c>
      <c r="J3" s="624" t="s">
        <v>957</v>
      </c>
      <c r="N3" t="s">
        <v>980</v>
      </c>
    </row>
    <row r="4" spans="1:14" x14ac:dyDescent="0.25">
      <c r="C4" t="s">
        <v>284</v>
      </c>
      <c r="D4">
        <v>1</v>
      </c>
      <c r="F4" s="313">
        <v>0.5</v>
      </c>
      <c r="H4" t="s">
        <v>867</v>
      </c>
      <c r="I4" s="1103" t="s">
        <v>958</v>
      </c>
      <c r="J4" s="1104" t="s">
        <v>959</v>
      </c>
      <c r="N4" t="s">
        <v>178</v>
      </c>
    </row>
    <row r="5" spans="1:14" x14ac:dyDescent="0.25">
      <c r="F5" s="313">
        <v>0.6</v>
      </c>
      <c r="H5" t="s">
        <v>1020</v>
      </c>
      <c r="I5" s="1103" t="s">
        <v>1034</v>
      </c>
      <c r="J5" s="1104" t="s">
        <v>1021</v>
      </c>
      <c r="N5" t="s">
        <v>981</v>
      </c>
    </row>
    <row r="6" spans="1:14" x14ac:dyDescent="0.25">
      <c r="A6" t="s">
        <v>870</v>
      </c>
      <c r="F6" s="313">
        <v>0.7</v>
      </c>
      <c r="H6" t="s">
        <v>868</v>
      </c>
      <c r="I6" t="s">
        <v>960</v>
      </c>
      <c r="J6" s="624" t="s">
        <v>961</v>
      </c>
    </row>
    <row r="7" spans="1:14" x14ac:dyDescent="0.25">
      <c r="A7" t="s">
        <v>871</v>
      </c>
      <c r="F7" s="313">
        <v>0.8</v>
      </c>
      <c r="J7" s="624"/>
      <c r="N7" s="1" t="s">
        <v>887</v>
      </c>
    </row>
    <row r="8" spans="1:14" x14ac:dyDescent="0.25">
      <c r="F8" t="s">
        <v>201</v>
      </c>
      <c r="N8" t="s">
        <v>944</v>
      </c>
    </row>
    <row r="9" spans="1:14" x14ac:dyDescent="0.25">
      <c r="N9" t="s">
        <v>982</v>
      </c>
    </row>
    <row r="10" spans="1:14" x14ac:dyDescent="0.25">
      <c r="N10" t="s">
        <v>983</v>
      </c>
    </row>
    <row r="11" spans="1:14" x14ac:dyDescent="0.25">
      <c r="H11" s="1" t="s">
        <v>962</v>
      </c>
      <c r="I11" s="1" t="s">
        <v>963</v>
      </c>
      <c r="N11" t="s">
        <v>984</v>
      </c>
    </row>
    <row r="12" spans="1:14" x14ac:dyDescent="0.25">
      <c r="H12" t="s">
        <v>964</v>
      </c>
      <c r="I12" t="s">
        <v>951</v>
      </c>
      <c r="N12" t="s">
        <v>985</v>
      </c>
    </row>
    <row r="13" spans="1:14" x14ac:dyDescent="0.25">
      <c r="H13" t="s">
        <v>950</v>
      </c>
      <c r="I13" t="s">
        <v>948</v>
      </c>
    </row>
    <row r="14" spans="1:14" x14ac:dyDescent="0.25">
      <c r="H14" t="s">
        <v>946</v>
      </c>
      <c r="I14" t="s">
        <v>965</v>
      </c>
    </row>
    <row r="16" spans="1:14" x14ac:dyDescent="0.25">
      <c r="H16" s="1" t="s">
        <v>832</v>
      </c>
      <c r="I16" s="1" t="s">
        <v>966</v>
      </c>
      <c r="K16" s="1" t="s">
        <v>979</v>
      </c>
    </row>
    <row r="17" spans="8:11" x14ac:dyDescent="0.25">
      <c r="H17" t="s">
        <v>949</v>
      </c>
      <c r="I17" t="s">
        <v>947</v>
      </c>
      <c r="K17" t="s">
        <v>1052</v>
      </c>
    </row>
    <row r="18" spans="8:11" x14ac:dyDescent="0.25">
      <c r="H18" t="s">
        <v>945</v>
      </c>
      <c r="I18" t="s">
        <v>967</v>
      </c>
      <c r="K18" t="s">
        <v>1053</v>
      </c>
    </row>
    <row r="19" spans="8:11" x14ac:dyDescent="0.25">
      <c r="H19" t="s">
        <v>968</v>
      </c>
      <c r="K19" t="s">
        <v>1054</v>
      </c>
    </row>
    <row r="20" spans="8:11" x14ac:dyDescent="0.25">
      <c r="H20" t="s">
        <v>969</v>
      </c>
      <c r="I20" s="1" t="s">
        <v>886</v>
      </c>
      <c r="K20" t="s">
        <v>991</v>
      </c>
    </row>
    <row r="21" spans="8:11" x14ac:dyDescent="0.25">
      <c r="H21" t="s">
        <v>970</v>
      </c>
      <c r="I21" t="s">
        <v>861</v>
      </c>
      <c r="K21" s="1" t="s">
        <v>987</v>
      </c>
    </row>
    <row r="22" spans="8:11" x14ac:dyDescent="0.25">
      <c r="H22" t="s">
        <v>971</v>
      </c>
      <c r="I22" t="s">
        <v>862</v>
      </c>
      <c r="K22" t="s">
        <v>989</v>
      </c>
    </row>
    <row r="23" spans="8:11" x14ac:dyDescent="0.25">
      <c r="H23" t="s">
        <v>972</v>
      </c>
      <c r="I23" t="s">
        <v>973</v>
      </c>
      <c r="K23" t="s">
        <v>988</v>
      </c>
    </row>
    <row r="24" spans="8:11" x14ac:dyDescent="0.25">
      <c r="H24" t="s">
        <v>974</v>
      </c>
      <c r="I24" t="s">
        <v>975</v>
      </c>
      <c r="K24" t="s">
        <v>990</v>
      </c>
    </row>
    <row r="25" spans="8:11" x14ac:dyDescent="0.25">
      <c r="H25" t="s">
        <v>976</v>
      </c>
      <c r="I25" t="s">
        <v>1014</v>
      </c>
      <c r="K25" t="s">
        <v>991</v>
      </c>
    </row>
    <row r="26" spans="8:11" x14ac:dyDescent="0.25">
      <c r="H26" t="s">
        <v>977</v>
      </c>
    </row>
    <row r="27" spans="8:11" x14ac:dyDescent="0.25">
      <c r="H27" t="s">
        <v>978</v>
      </c>
    </row>
  </sheetData>
  <hyperlinks>
    <hyperlink ref="J4" r:id="rId1" display="nmohs@gmhf.com" xr:uid="{665AF3DA-70DE-49C9-A24C-51FECCE5DE3E}"/>
    <hyperlink ref="J2" r:id="rId2" xr:uid="{B68FE2B7-2281-4C2A-B767-139F212EC8A5}"/>
    <hyperlink ref="J6" r:id="rId3" display="msanders@gmhf.com" xr:uid="{9DFFE16F-A7CD-4F79-9BFF-DD34DC522741}"/>
    <hyperlink ref="J5" r:id="rId4" xr:uid="{4E77C684-5C65-4751-AD2F-174D313F1DF1}"/>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9F630-020B-4E30-BCBB-BA5D411255A5}">
  <sheetPr codeName="Sheet16"/>
  <dimension ref="A1:V88"/>
  <sheetViews>
    <sheetView workbookViewId="0">
      <selection activeCell="D10" sqref="D10"/>
    </sheetView>
  </sheetViews>
  <sheetFormatPr defaultRowHeight="15" x14ac:dyDescent="0.25"/>
  <cols>
    <col min="1" max="1" width="18.85546875" bestFit="1" customWidth="1"/>
    <col min="2" max="4" width="18.85546875" customWidth="1"/>
    <col min="5" max="22" width="13" customWidth="1"/>
  </cols>
  <sheetData>
    <row r="1" spans="1:22" x14ac:dyDescent="0.25">
      <c r="A1" t="s">
        <v>441</v>
      </c>
      <c r="B1" t="s">
        <v>1012</v>
      </c>
      <c r="C1" t="s">
        <v>1012</v>
      </c>
      <c r="D1" t="s">
        <v>1012</v>
      </c>
      <c r="E1" t="s">
        <v>1012</v>
      </c>
      <c r="F1" t="s">
        <v>1035</v>
      </c>
      <c r="G1" t="s">
        <v>1036</v>
      </c>
      <c r="H1" t="s">
        <v>1037</v>
      </c>
      <c r="I1" t="s">
        <v>1038</v>
      </c>
      <c r="J1" t="s">
        <v>1039</v>
      </c>
      <c r="K1" t="s">
        <v>1040</v>
      </c>
      <c r="L1" t="s">
        <v>1041</v>
      </c>
      <c r="M1" t="s">
        <v>1042</v>
      </c>
      <c r="N1" t="s">
        <v>1043</v>
      </c>
      <c r="O1" t="s">
        <v>1044</v>
      </c>
      <c r="P1" t="s">
        <v>1045</v>
      </c>
      <c r="Q1" t="s">
        <v>1046</v>
      </c>
      <c r="R1" t="s">
        <v>1047</v>
      </c>
      <c r="S1" t="s">
        <v>1048</v>
      </c>
      <c r="T1" t="s">
        <v>1049</v>
      </c>
      <c r="U1" t="s">
        <v>1050</v>
      </c>
      <c r="V1" t="s">
        <v>1051</v>
      </c>
    </row>
    <row r="2" spans="1:22" x14ac:dyDescent="0.25">
      <c r="A2" t="s">
        <v>440</v>
      </c>
      <c r="F2" s="1164">
        <v>82400</v>
      </c>
      <c r="G2">
        <v>33350</v>
      </c>
      <c r="H2">
        <v>38100</v>
      </c>
      <c r="I2">
        <v>42850</v>
      </c>
      <c r="J2">
        <v>47600</v>
      </c>
      <c r="K2">
        <v>51450</v>
      </c>
      <c r="L2">
        <v>55250</v>
      </c>
      <c r="M2">
        <v>59050</v>
      </c>
      <c r="N2">
        <v>62850</v>
      </c>
      <c r="O2">
        <v>40020</v>
      </c>
      <c r="P2">
        <v>45720</v>
      </c>
      <c r="Q2">
        <v>51420</v>
      </c>
      <c r="R2">
        <v>57120</v>
      </c>
      <c r="S2">
        <v>61740</v>
      </c>
      <c r="T2">
        <v>66300</v>
      </c>
      <c r="U2">
        <v>70860</v>
      </c>
      <c r="V2">
        <v>75420</v>
      </c>
    </row>
    <row r="3" spans="1:22" x14ac:dyDescent="0.25">
      <c r="A3" t="s">
        <v>439</v>
      </c>
      <c r="F3" s="1164">
        <v>132400</v>
      </c>
      <c r="G3">
        <v>46350</v>
      </c>
      <c r="H3">
        <v>53000</v>
      </c>
      <c r="I3">
        <v>59600</v>
      </c>
      <c r="J3">
        <v>66200</v>
      </c>
      <c r="K3">
        <v>71500</v>
      </c>
      <c r="L3">
        <v>76800</v>
      </c>
      <c r="M3">
        <v>82100</v>
      </c>
      <c r="N3">
        <v>87400</v>
      </c>
      <c r="O3">
        <v>55620</v>
      </c>
      <c r="P3">
        <v>63600</v>
      </c>
      <c r="Q3">
        <v>71520</v>
      </c>
      <c r="R3">
        <v>79440</v>
      </c>
      <c r="S3">
        <v>85800</v>
      </c>
      <c r="T3">
        <v>92160</v>
      </c>
      <c r="U3">
        <v>98520</v>
      </c>
      <c r="V3">
        <v>104880</v>
      </c>
    </row>
    <row r="4" spans="1:22" x14ac:dyDescent="0.25">
      <c r="A4" t="s">
        <v>438</v>
      </c>
      <c r="F4" s="1164">
        <v>97500</v>
      </c>
      <c r="G4">
        <v>34150</v>
      </c>
      <c r="H4">
        <v>39000</v>
      </c>
      <c r="I4">
        <v>43900</v>
      </c>
      <c r="J4">
        <v>48750</v>
      </c>
      <c r="K4">
        <v>52650</v>
      </c>
      <c r="L4">
        <v>56550</v>
      </c>
      <c r="M4">
        <v>60450</v>
      </c>
      <c r="N4">
        <v>64350</v>
      </c>
      <c r="O4">
        <v>40980</v>
      </c>
      <c r="P4">
        <v>46800</v>
      </c>
      <c r="Q4">
        <v>52680</v>
      </c>
      <c r="R4">
        <v>58500</v>
      </c>
      <c r="S4">
        <v>63180</v>
      </c>
      <c r="T4">
        <v>67860</v>
      </c>
      <c r="U4">
        <v>72540</v>
      </c>
      <c r="V4">
        <v>77220</v>
      </c>
    </row>
    <row r="5" spans="1:22" x14ac:dyDescent="0.25">
      <c r="A5" t="s">
        <v>437</v>
      </c>
      <c r="F5" s="1164">
        <v>92200</v>
      </c>
      <c r="G5">
        <v>33350</v>
      </c>
      <c r="H5">
        <v>38100</v>
      </c>
      <c r="I5">
        <v>42850</v>
      </c>
      <c r="J5">
        <v>47600</v>
      </c>
      <c r="K5">
        <v>51450</v>
      </c>
      <c r="L5">
        <v>55250</v>
      </c>
      <c r="M5">
        <v>59050</v>
      </c>
      <c r="N5">
        <v>62850</v>
      </c>
      <c r="O5">
        <v>40020</v>
      </c>
      <c r="P5">
        <v>45720</v>
      </c>
      <c r="Q5">
        <v>51420</v>
      </c>
      <c r="R5">
        <v>57120</v>
      </c>
      <c r="S5">
        <v>61740</v>
      </c>
      <c r="T5">
        <v>66300</v>
      </c>
      <c r="U5">
        <v>70860</v>
      </c>
      <c r="V5">
        <v>75420</v>
      </c>
    </row>
    <row r="6" spans="1:22" x14ac:dyDescent="0.25">
      <c r="A6" t="s">
        <v>436</v>
      </c>
      <c r="F6" s="1164">
        <v>103200</v>
      </c>
      <c r="G6">
        <v>36150</v>
      </c>
      <c r="H6">
        <v>41300</v>
      </c>
      <c r="I6">
        <v>46450</v>
      </c>
      <c r="J6">
        <v>51600</v>
      </c>
      <c r="K6">
        <v>55750</v>
      </c>
      <c r="L6">
        <v>59900</v>
      </c>
      <c r="M6">
        <v>64000</v>
      </c>
      <c r="N6">
        <v>68150</v>
      </c>
      <c r="O6">
        <v>43380</v>
      </c>
      <c r="P6">
        <v>49560</v>
      </c>
      <c r="Q6">
        <v>55740</v>
      </c>
      <c r="R6">
        <v>61920</v>
      </c>
      <c r="S6">
        <v>66900</v>
      </c>
      <c r="T6">
        <v>71880</v>
      </c>
      <c r="U6">
        <v>76800</v>
      </c>
      <c r="V6">
        <v>81780</v>
      </c>
    </row>
    <row r="7" spans="1:22" x14ac:dyDescent="0.25">
      <c r="A7" t="s">
        <v>435</v>
      </c>
      <c r="F7" s="1164">
        <v>89400</v>
      </c>
      <c r="G7">
        <v>33350</v>
      </c>
      <c r="H7">
        <v>38100</v>
      </c>
      <c r="I7">
        <v>42850</v>
      </c>
      <c r="J7">
        <v>47600</v>
      </c>
      <c r="K7">
        <v>51450</v>
      </c>
      <c r="L7">
        <v>55250</v>
      </c>
      <c r="M7">
        <v>59050</v>
      </c>
      <c r="N7">
        <v>62850</v>
      </c>
      <c r="O7">
        <v>40020</v>
      </c>
      <c r="P7">
        <v>45720</v>
      </c>
      <c r="Q7">
        <v>51420</v>
      </c>
      <c r="R7">
        <v>57120</v>
      </c>
      <c r="S7">
        <v>61740</v>
      </c>
      <c r="T7">
        <v>66300</v>
      </c>
      <c r="U7">
        <v>70860</v>
      </c>
      <c r="V7">
        <v>75420</v>
      </c>
    </row>
    <row r="8" spans="1:22" x14ac:dyDescent="0.25">
      <c r="A8" t="s">
        <v>434</v>
      </c>
      <c r="F8" s="1164">
        <v>104700</v>
      </c>
      <c r="G8">
        <v>36650</v>
      </c>
      <c r="H8">
        <v>41900</v>
      </c>
      <c r="I8">
        <v>47150</v>
      </c>
      <c r="J8">
        <v>52350</v>
      </c>
      <c r="K8">
        <v>56550</v>
      </c>
      <c r="L8">
        <v>60750</v>
      </c>
      <c r="M8">
        <v>64950</v>
      </c>
      <c r="N8">
        <v>69150</v>
      </c>
      <c r="O8">
        <v>43980</v>
      </c>
      <c r="P8">
        <v>50280</v>
      </c>
      <c r="Q8">
        <v>56580</v>
      </c>
      <c r="R8">
        <v>62820</v>
      </c>
      <c r="S8">
        <v>67860</v>
      </c>
      <c r="T8">
        <v>72900</v>
      </c>
      <c r="U8">
        <v>77940</v>
      </c>
      <c r="V8">
        <v>82980</v>
      </c>
    </row>
    <row r="9" spans="1:22" x14ac:dyDescent="0.25">
      <c r="A9" t="s">
        <v>433</v>
      </c>
      <c r="F9" s="1164">
        <v>96600</v>
      </c>
      <c r="G9">
        <v>33850</v>
      </c>
      <c r="H9">
        <v>38650</v>
      </c>
      <c r="I9">
        <v>43500</v>
      </c>
      <c r="J9">
        <v>48300</v>
      </c>
      <c r="K9">
        <v>52200</v>
      </c>
      <c r="L9">
        <v>56050</v>
      </c>
      <c r="M9">
        <v>59900</v>
      </c>
      <c r="N9">
        <v>63800</v>
      </c>
      <c r="O9">
        <v>40620</v>
      </c>
      <c r="P9">
        <v>46380</v>
      </c>
      <c r="Q9">
        <v>52200</v>
      </c>
      <c r="R9">
        <v>57960</v>
      </c>
      <c r="S9">
        <v>62640</v>
      </c>
      <c r="T9">
        <v>67260</v>
      </c>
      <c r="U9">
        <v>71880</v>
      </c>
      <c r="V9">
        <v>76560</v>
      </c>
    </row>
    <row r="10" spans="1:22" x14ac:dyDescent="0.25">
      <c r="A10" t="s">
        <v>432</v>
      </c>
      <c r="F10" s="1164">
        <v>100600</v>
      </c>
      <c r="G10">
        <v>35250</v>
      </c>
      <c r="H10">
        <v>40250</v>
      </c>
      <c r="I10">
        <v>45300</v>
      </c>
      <c r="J10">
        <v>50300</v>
      </c>
      <c r="K10">
        <v>54350</v>
      </c>
      <c r="L10">
        <v>58350</v>
      </c>
      <c r="M10">
        <v>62400</v>
      </c>
      <c r="N10">
        <v>66400</v>
      </c>
      <c r="O10">
        <v>42300</v>
      </c>
      <c r="P10">
        <v>48300</v>
      </c>
      <c r="Q10">
        <v>54360</v>
      </c>
      <c r="R10">
        <v>60360</v>
      </c>
      <c r="S10">
        <v>65220</v>
      </c>
      <c r="T10">
        <v>70020</v>
      </c>
      <c r="U10">
        <v>74880</v>
      </c>
      <c r="V10">
        <v>79680</v>
      </c>
    </row>
    <row r="11" spans="1:22" x14ac:dyDescent="0.25">
      <c r="A11" t="s">
        <v>431</v>
      </c>
      <c r="F11" s="1164">
        <v>132400</v>
      </c>
      <c r="G11">
        <v>46350</v>
      </c>
      <c r="H11">
        <v>53000</v>
      </c>
      <c r="I11">
        <v>59600</v>
      </c>
      <c r="J11">
        <v>66200</v>
      </c>
      <c r="K11">
        <v>71500</v>
      </c>
      <c r="L11">
        <v>76800</v>
      </c>
      <c r="M11">
        <v>82100</v>
      </c>
      <c r="N11">
        <v>87400</v>
      </c>
      <c r="O11">
        <v>55620</v>
      </c>
      <c r="P11">
        <v>63600</v>
      </c>
      <c r="Q11">
        <v>71520</v>
      </c>
      <c r="R11">
        <v>79440</v>
      </c>
      <c r="S11">
        <v>85800</v>
      </c>
      <c r="T11">
        <v>92160</v>
      </c>
      <c r="U11">
        <v>98520</v>
      </c>
      <c r="V11">
        <v>104880</v>
      </c>
    </row>
    <row r="12" spans="1:22" x14ac:dyDescent="0.25">
      <c r="A12" t="s">
        <v>430</v>
      </c>
      <c r="F12" s="1164">
        <v>87300</v>
      </c>
      <c r="G12">
        <v>33350</v>
      </c>
      <c r="H12">
        <v>38100</v>
      </c>
      <c r="I12">
        <v>42850</v>
      </c>
      <c r="J12">
        <v>47600</v>
      </c>
      <c r="K12">
        <v>51450</v>
      </c>
      <c r="L12">
        <v>55250</v>
      </c>
      <c r="M12">
        <v>59050</v>
      </c>
      <c r="N12">
        <v>62850</v>
      </c>
      <c r="O12">
        <v>40020</v>
      </c>
      <c r="P12">
        <v>45720</v>
      </c>
      <c r="Q12">
        <v>51420</v>
      </c>
      <c r="R12">
        <v>57120</v>
      </c>
      <c r="S12">
        <v>61740</v>
      </c>
      <c r="T12">
        <v>66300</v>
      </c>
      <c r="U12">
        <v>70860</v>
      </c>
      <c r="V12">
        <v>75420</v>
      </c>
    </row>
    <row r="13" spans="1:22" x14ac:dyDescent="0.25">
      <c r="A13" t="s">
        <v>429</v>
      </c>
      <c r="F13" s="1164">
        <v>100500</v>
      </c>
      <c r="G13">
        <v>35000</v>
      </c>
      <c r="H13">
        <v>40000</v>
      </c>
      <c r="I13">
        <v>45000</v>
      </c>
      <c r="J13">
        <v>50000</v>
      </c>
      <c r="K13">
        <v>54000</v>
      </c>
      <c r="L13">
        <v>58000</v>
      </c>
      <c r="M13">
        <v>62000</v>
      </c>
      <c r="N13">
        <v>66000</v>
      </c>
      <c r="O13">
        <v>42000</v>
      </c>
      <c r="P13">
        <v>48000</v>
      </c>
      <c r="Q13">
        <v>54000</v>
      </c>
      <c r="R13">
        <v>60000</v>
      </c>
      <c r="S13">
        <v>64800</v>
      </c>
      <c r="T13">
        <v>69600</v>
      </c>
      <c r="U13">
        <v>74400</v>
      </c>
      <c r="V13">
        <v>79200</v>
      </c>
    </row>
    <row r="14" spans="1:22" x14ac:dyDescent="0.25">
      <c r="A14" t="s">
        <v>428</v>
      </c>
      <c r="F14" s="1164">
        <v>132400</v>
      </c>
      <c r="G14">
        <v>46350</v>
      </c>
      <c r="H14">
        <v>53000</v>
      </c>
      <c r="I14">
        <v>59600</v>
      </c>
      <c r="J14">
        <v>66200</v>
      </c>
      <c r="K14">
        <v>71500</v>
      </c>
      <c r="L14">
        <v>76800</v>
      </c>
      <c r="M14">
        <v>82100</v>
      </c>
      <c r="N14">
        <v>87400</v>
      </c>
      <c r="O14">
        <v>55620</v>
      </c>
      <c r="P14">
        <v>63600</v>
      </c>
      <c r="Q14">
        <v>71520</v>
      </c>
      <c r="R14">
        <v>79440</v>
      </c>
      <c r="S14">
        <v>85800</v>
      </c>
      <c r="T14">
        <v>92160</v>
      </c>
      <c r="U14">
        <v>98520</v>
      </c>
      <c r="V14">
        <v>104880</v>
      </c>
    </row>
    <row r="15" spans="1:22" x14ac:dyDescent="0.25">
      <c r="A15" t="s">
        <v>427</v>
      </c>
      <c r="F15" s="1164">
        <v>117500</v>
      </c>
      <c r="G15">
        <v>40500</v>
      </c>
      <c r="H15">
        <v>46250</v>
      </c>
      <c r="I15">
        <v>52050</v>
      </c>
      <c r="J15">
        <v>57800</v>
      </c>
      <c r="K15">
        <v>62450</v>
      </c>
      <c r="L15">
        <v>67050</v>
      </c>
      <c r="M15">
        <v>71700</v>
      </c>
      <c r="N15">
        <v>76300</v>
      </c>
      <c r="O15">
        <v>48600</v>
      </c>
      <c r="P15">
        <v>55500</v>
      </c>
      <c r="Q15">
        <v>62460</v>
      </c>
      <c r="R15">
        <v>69360</v>
      </c>
      <c r="S15">
        <v>74940</v>
      </c>
      <c r="T15">
        <v>80460</v>
      </c>
      <c r="U15">
        <v>86040</v>
      </c>
      <c r="V15">
        <v>91560</v>
      </c>
    </row>
    <row r="16" spans="1:22" x14ac:dyDescent="0.25">
      <c r="A16" t="s">
        <v>426</v>
      </c>
      <c r="F16" s="1164">
        <v>89500</v>
      </c>
      <c r="G16">
        <v>33350</v>
      </c>
      <c r="H16">
        <v>38100</v>
      </c>
      <c r="I16">
        <v>42850</v>
      </c>
      <c r="J16">
        <v>47600</v>
      </c>
      <c r="K16">
        <v>51450</v>
      </c>
      <c r="L16">
        <v>55250</v>
      </c>
      <c r="M16">
        <v>59050</v>
      </c>
      <c r="N16">
        <v>62850</v>
      </c>
      <c r="O16">
        <v>40020</v>
      </c>
      <c r="P16">
        <v>45720</v>
      </c>
      <c r="Q16">
        <v>51420</v>
      </c>
      <c r="R16">
        <v>57120</v>
      </c>
      <c r="S16">
        <v>61740</v>
      </c>
      <c r="T16">
        <v>66300</v>
      </c>
      <c r="U16">
        <v>70860</v>
      </c>
      <c r="V16">
        <v>75420</v>
      </c>
    </row>
    <row r="17" spans="1:22" x14ac:dyDescent="0.25">
      <c r="A17" t="s">
        <v>425</v>
      </c>
      <c r="F17" s="1164">
        <v>94400</v>
      </c>
      <c r="G17">
        <v>33350</v>
      </c>
      <c r="H17">
        <v>38100</v>
      </c>
      <c r="I17">
        <v>42850</v>
      </c>
      <c r="J17">
        <v>47600</v>
      </c>
      <c r="K17">
        <v>51450</v>
      </c>
      <c r="L17">
        <v>55250</v>
      </c>
      <c r="M17">
        <v>59050</v>
      </c>
      <c r="N17">
        <v>62850</v>
      </c>
      <c r="O17">
        <v>40020</v>
      </c>
      <c r="P17">
        <v>45720</v>
      </c>
      <c r="Q17">
        <v>51420</v>
      </c>
      <c r="R17">
        <v>57120</v>
      </c>
      <c r="S17">
        <v>61740</v>
      </c>
      <c r="T17">
        <v>66300</v>
      </c>
      <c r="U17">
        <v>70860</v>
      </c>
      <c r="V17">
        <v>75420</v>
      </c>
    </row>
    <row r="18" spans="1:22" x14ac:dyDescent="0.25">
      <c r="A18" t="s">
        <v>424</v>
      </c>
      <c r="F18" s="1164">
        <v>94700</v>
      </c>
      <c r="G18">
        <v>33350</v>
      </c>
      <c r="H18">
        <v>38100</v>
      </c>
      <c r="I18">
        <v>42850</v>
      </c>
      <c r="J18">
        <v>47600</v>
      </c>
      <c r="K18">
        <v>51450</v>
      </c>
      <c r="L18">
        <v>55250</v>
      </c>
      <c r="M18">
        <v>59050</v>
      </c>
      <c r="N18">
        <v>62850</v>
      </c>
      <c r="O18">
        <v>40020</v>
      </c>
      <c r="P18">
        <v>45720</v>
      </c>
      <c r="Q18">
        <v>51420</v>
      </c>
      <c r="R18">
        <v>57120</v>
      </c>
      <c r="S18">
        <v>61740</v>
      </c>
      <c r="T18">
        <v>66300</v>
      </c>
      <c r="U18">
        <v>70860</v>
      </c>
      <c r="V18">
        <v>75420</v>
      </c>
    </row>
    <row r="19" spans="1:22" x14ac:dyDescent="0.25">
      <c r="A19" t="s">
        <v>423</v>
      </c>
      <c r="F19" s="1164">
        <v>106500</v>
      </c>
      <c r="G19">
        <v>35000</v>
      </c>
      <c r="H19">
        <v>40000</v>
      </c>
      <c r="I19">
        <v>45000</v>
      </c>
      <c r="J19">
        <v>50000</v>
      </c>
      <c r="K19">
        <v>54000</v>
      </c>
      <c r="L19">
        <v>58000</v>
      </c>
      <c r="M19">
        <v>62000</v>
      </c>
      <c r="N19">
        <v>66000</v>
      </c>
      <c r="O19">
        <v>42000</v>
      </c>
      <c r="P19">
        <v>48000</v>
      </c>
      <c r="Q19">
        <v>54000</v>
      </c>
      <c r="R19">
        <v>60000</v>
      </c>
      <c r="S19">
        <v>64800</v>
      </c>
      <c r="T19">
        <v>69600</v>
      </c>
      <c r="U19">
        <v>74400</v>
      </c>
      <c r="V19">
        <v>79200</v>
      </c>
    </row>
    <row r="20" spans="1:22" x14ac:dyDescent="0.25">
      <c r="A20" t="s">
        <v>422</v>
      </c>
      <c r="F20" s="1164">
        <v>132400</v>
      </c>
      <c r="G20">
        <v>46350</v>
      </c>
      <c r="H20">
        <v>53000</v>
      </c>
      <c r="I20">
        <v>59600</v>
      </c>
      <c r="J20">
        <v>66200</v>
      </c>
      <c r="K20">
        <v>71500</v>
      </c>
      <c r="L20">
        <v>76800</v>
      </c>
      <c r="M20">
        <v>82100</v>
      </c>
      <c r="N20">
        <v>87400</v>
      </c>
      <c r="O20">
        <v>55620</v>
      </c>
      <c r="P20">
        <v>63600</v>
      </c>
      <c r="Q20">
        <v>71520</v>
      </c>
      <c r="R20">
        <v>79440</v>
      </c>
      <c r="S20">
        <v>85800</v>
      </c>
      <c r="T20">
        <v>92160</v>
      </c>
      <c r="U20">
        <v>98520</v>
      </c>
      <c r="V20">
        <v>104880</v>
      </c>
    </row>
    <row r="21" spans="1:22" x14ac:dyDescent="0.25">
      <c r="A21" t="s">
        <v>421</v>
      </c>
      <c r="F21" s="1164">
        <v>125600</v>
      </c>
      <c r="G21">
        <v>44000</v>
      </c>
      <c r="H21">
        <v>50250</v>
      </c>
      <c r="I21">
        <v>56550</v>
      </c>
      <c r="J21">
        <v>62800</v>
      </c>
      <c r="K21">
        <v>67850</v>
      </c>
      <c r="L21">
        <v>72850</v>
      </c>
      <c r="M21">
        <v>77900</v>
      </c>
      <c r="N21">
        <v>82900</v>
      </c>
      <c r="O21">
        <v>52800</v>
      </c>
      <c r="P21">
        <v>60300</v>
      </c>
      <c r="Q21">
        <v>67860</v>
      </c>
      <c r="R21">
        <v>75360</v>
      </c>
      <c r="S21">
        <v>81420</v>
      </c>
      <c r="T21">
        <v>87420</v>
      </c>
      <c r="U21">
        <v>93480</v>
      </c>
      <c r="V21">
        <v>99480</v>
      </c>
    </row>
    <row r="22" spans="1:22" x14ac:dyDescent="0.25">
      <c r="A22" t="s">
        <v>420</v>
      </c>
      <c r="F22" s="1164">
        <v>105200</v>
      </c>
      <c r="G22">
        <v>36850</v>
      </c>
      <c r="H22">
        <v>42100</v>
      </c>
      <c r="I22">
        <v>47350</v>
      </c>
      <c r="J22">
        <v>52600</v>
      </c>
      <c r="K22">
        <v>56850</v>
      </c>
      <c r="L22">
        <v>61050</v>
      </c>
      <c r="M22">
        <v>65250</v>
      </c>
      <c r="N22">
        <v>69450</v>
      </c>
      <c r="O22">
        <v>44220</v>
      </c>
      <c r="P22">
        <v>50520</v>
      </c>
      <c r="Q22">
        <v>56820</v>
      </c>
      <c r="R22">
        <v>63120</v>
      </c>
      <c r="S22">
        <v>68220</v>
      </c>
      <c r="T22">
        <v>73260</v>
      </c>
      <c r="U22">
        <v>78300</v>
      </c>
      <c r="V22">
        <v>83340</v>
      </c>
    </row>
    <row r="23" spans="1:22" x14ac:dyDescent="0.25">
      <c r="A23" t="s">
        <v>419</v>
      </c>
      <c r="F23" s="1164">
        <v>86100</v>
      </c>
      <c r="G23">
        <v>33350</v>
      </c>
      <c r="H23">
        <v>38100</v>
      </c>
      <c r="I23">
        <v>42850</v>
      </c>
      <c r="J23">
        <v>47600</v>
      </c>
      <c r="K23">
        <v>51450</v>
      </c>
      <c r="L23">
        <v>55250</v>
      </c>
      <c r="M23">
        <v>59050</v>
      </c>
      <c r="N23">
        <v>62850</v>
      </c>
      <c r="O23">
        <v>40020</v>
      </c>
      <c r="P23">
        <v>45720</v>
      </c>
      <c r="Q23">
        <v>51420</v>
      </c>
      <c r="R23">
        <v>57120</v>
      </c>
      <c r="S23">
        <v>61740</v>
      </c>
      <c r="T23">
        <v>66300</v>
      </c>
      <c r="U23">
        <v>70860</v>
      </c>
      <c r="V23">
        <v>75420</v>
      </c>
    </row>
    <row r="24" spans="1:22" x14ac:dyDescent="0.25">
      <c r="A24" t="s">
        <v>418</v>
      </c>
      <c r="F24" s="1164">
        <v>98600</v>
      </c>
      <c r="G24">
        <v>34550</v>
      </c>
      <c r="H24">
        <v>39450</v>
      </c>
      <c r="I24">
        <v>44400</v>
      </c>
      <c r="J24">
        <v>49300</v>
      </c>
      <c r="K24">
        <v>53250</v>
      </c>
      <c r="L24">
        <v>57200</v>
      </c>
      <c r="M24">
        <v>61150</v>
      </c>
      <c r="N24">
        <v>65100</v>
      </c>
      <c r="O24">
        <v>41460</v>
      </c>
      <c r="P24">
        <v>47340</v>
      </c>
      <c r="Q24">
        <v>53280</v>
      </c>
      <c r="R24">
        <v>59160</v>
      </c>
      <c r="S24">
        <v>63900</v>
      </c>
      <c r="T24">
        <v>68640</v>
      </c>
      <c r="U24">
        <v>73380</v>
      </c>
      <c r="V24">
        <v>78120</v>
      </c>
    </row>
    <row r="25" spans="1:22" x14ac:dyDescent="0.25">
      <c r="A25" t="s">
        <v>417</v>
      </c>
      <c r="F25" s="1164">
        <v>94200</v>
      </c>
      <c r="G25">
        <v>33350</v>
      </c>
      <c r="H25">
        <v>38100</v>
      </c>
      <c r="I25">
        <v>42850</v>
      </c>
      <c r="J25">
        <v>47600</v>
      </c>
      <c r="K25">
        <v>51450</v>
      </c>
      <c r="L25">
        <v>55250</v>
      </c>
      <c r="M25">
        <v>59050</v>
      </c>
      <c r="N25">
        <v>62850</v>
      </c>
      <c r="O25">
        <v>40020</v>
      </c>
      <c r="P25">
        <v>45720</v>
      </c>
      <c r="Q25">
        <v>51420</v>
      </c>
      <c r="R25">
        <v>57120</v>
      </c>
      <c r="S25">
        <v>61740</v>
      </c>
      <c r="T25">
        <v>66300</v>
      </c>
      <c r="U25">
        <v>70860</v>
      </c>
      <c r="V25">
        <v>75420</v>
      </c>
    </row>
    <row r="26" spans="1:22" x14ac:dyDescent="0.25">
      <c r="A26" t="s">
        <v>416</v>
      </c>
      <c r="F26" s="1164">
        <v>113200</v>
      </c>
      <c r="G26">
        <v>39650</v>
      </c>
      <c r="H26">
        <v>45300</v>
      </c>
      <c r="I26">
        <v>50950</v>
      </c>
      <c r="J26">
        <v>56600</v>
      </c>
      <c r="K26">
        <v>61150</v>
      </c>
      <c r="L26">
        <v>65700</v>
      </c>
      <c r="M26">
        <v>70200</v>
      </c>
      <c r="N26">
        <v>74750</v>
      </c>
      <c r="O26">
        <v>47580</v>
      </c>
      <c r="P26">
        <v>54360</v>
      </c>
      <c r="Q26">
        <v>61140</v>
      </c>
      <c r="R26">
        <v>67920</v>
      </c>
      <c r="S26">
        <v>73380</v>
      </c>
      <c r="T26">
        <v>78840</v>
      </c>
      <c r="U26">
        <v>84240</v>
      </c>
      <c r="V26">
        <v>89700</v>
      </c>
    </row>
    <row r="27" spans="1:22" x14ac:dyDescent="0.25">
      <c r="A27" t="s">
        <v>415</v>
      </c>
      <c r="F27" s="1164">
        <v>91900</v>
      </c>
      <c r="G27">
        <v>33350</v>
      </c>
      <c r="H27">
        <v>38100</v>
      </c>
      <c r="I27">
        <v>42850</v>
      </c>
      <c r="J27">
        <v>47600</v>
      </c>
      <c r="K27">
        <v>51450</v>
      </c>
      <c r="L27">
        <v>55250</v>
      </c>
      <c r="M27">
        <v>59050</v>
      </c>
      <c r="N27">
        <v>62850</v>
      </c>
      <c r="O27">
        <v>40020</v>
      </c>
      <c r="P27">
        <v>45720</v>
      </c>
      <c r="Q27">
        <v>51420</v>
      </c>
      <c r="R27">
        <v>57120</v>
      </c>
      <c r="S27">
        <v>61740</v>
      </c>
      <c r="T27">
        <v>66300</v>
      </c>
      <c r="U27">
        <v>70860</v>
      </c>
      <c r="V27">
        <v>75420</v>
      </c>
    </row>
    <row r="28" spans="1:22" x14ac:dyDescent="0.25">
      <c r="A28" t="s">
        <v>414</v>
      </c>
      <c r="F28" s="1164">
        <v>132400</v>
      </c>
      <c r="G28">
        <v>46350</v>
      </c>
      <c r="H28">
        <v>53000</v>
      </c>
      <c r="I28">
        <v>59600</v>
      </c>
      <c r="J28">
        <v>66200</v>
      </c>
      <c r="K28">
        <v>71500</v>
      </c>
      <c r="L28">
        <v>76800</v>
      </c>
      <c r="M28">
        <v>82100</v>
      </c>
      <c r="N28">
        <v>87400</v>
      </c>
      <c r="O28">
        <v>55620</v>
      </c>
      <c r="P28">
        <v>63600</v>
      </c>
      <c r="Q28">
        <v>71520</v>
      </c>
      <c r="R28">
        <v>79440</v>
      </c>
      <c r="S28">
        <v>85800</v>
      </c>
      <c r="T28">
        <v>92160</v>
      </c>
      <c r="U28">
        <v>98520</v>
      </c>
      <c r="V28">
        <v>104880</v>
      </c>
    </row>
    <row r="29" spans="1:22" x14ac:dyDescent="0.25">
      <c r="A29" t="s">
        <v>413</v>
      </c>
      <c r="F29" s="1164">
        <v>109200</v>
      </c>
      <c r="G29">
        <v>37600</v>
      </c>
      <c r="H29">
        <v>43000</v>
      </c>
      <c r="I29">
        <v>48350</v>
      </c>
      <c r="J29">
        <v>53700</v>
      </c>
      <c r="K29">
        <v>58000</v>
      </c>
      <c r="L29">
        <v>62300</v>
      </c>
      <c r="M29">
        <v>66600</v>
      </c>
      <c r="N29">
        <v>70900</v>
      </c>
      <c r="O29">
        <v>45120</v>
      </c>
      <c r="P29">
        <v>51600</v>
      </c>
      <c r="Q29">
        <v>58020</v>
      </c>
      <c r="R29">
        <v>64440</v>
      </c>
      <c r="S29">
        <v>69600</v>
      </c>
      <c r="T29">
        <v>74760</v>
      </c>
      <c r="U29">
        <v>79920</v>
      </c>
      <c r="V29">
        <v>85080</v>
      </c>
    </row>
    <row r="30" spans="1:22" x14ac:dyDescent="0.25">
      <c r="A30" t="s">
        <v>412</v>
      </c>
      <c r="F30" s="1164">
        <v>91000</v>
      </c>
      <c r="G30">
        <v>33350</v>
      </c>
      <c r="H30">
        <v>38100</v>
      </c>
      <c r="I30">
        <v>42850</v>
      </c>
      <c r="J30">
        <v>47600</v>
      </c>
      <c r="K30">
        <v>51450</v>
      </c>
      <c r="L30">
        <v>55250</v>
      </c>
      <c r="M30">
        <v>59050</v>
      </c>
      <c r="N30">
        <v>62850</v>
      </c>
      <c r="O30">
        <v>40020</v>
      </c>
      <c r="P30">
        <v>45720</v>
      </c>
      <c r="Q30">
        <v>51420</v>
      </c>
      <c r="R30">
        <v>57120</v>
      </c>
      <c r="S30">
        <v>61740</v>
      </c>
      <c r="T30">
        <v>66300</v>
      </c>
      <c r="U30">
        <v>70860</v>
      </c>
      <c r="V30">
        <v>75420</v>
      </c>
    </row>
    <row r="31" spans="1:22" x14ac:dyDescent="0.25">
      <c r="A31" t="s">
        <v>411</v>
      </c>
      <c r="F31" s="1164">
        <v>132400</v>
      </c>
      <c r="G31">
        <v>46350</v>
      </c>
      <c r="H31">
        <v>53000</v>
      </c>
      <c r="I31">
        <v>59600</v>
      </c>
      <c r="J31">
        <v>66200</v>
      </c>
      <c r="K31">
        <v>71500</v>
      </c>
      <c r="L31">
        <v>76800</v>
      </c>
      <c r="M31">
        <v>82100</v>
      </c>
      <c r="N31">
        <v>87400</v>
      </c>
      <c r="O31">
        <v>55620</v>
      </c>
      <c r="P31">
        <v>63600</v>
      </c>
      <c r="Q31">
        <v>71520</v>
      </c>
      <c r="R31">
        <v>79440</v>
      </c>
      <c r="S31">
        <v>85800</v>
      </c>
      <c r="T31">
        <v>92160</v>
      </c>
      <c r="U31">
        <v>98520</v>
      </c>
      <c r="V31">
        <v>104880</v>
      </c>
    </row>
    <row r="32" spans="1:22" x14ac:dyDescent="0.25">
      <c r="A32" t="s">
        <v>410</v>
      </c>
      <c r="F32" s="1164">
        <v>90700</v>
      </c>
      <c r="G32">
        <v>33350</v>
      </c>
      <c r="H32">
        <v>38100</v>
      </c>
      <c r="I32">
        <v>42850</v>
      </c>
      <c r="J32">
        <v>47600</v>
      </c>
      <c r="K32">
        <v>51450</v>
      </c>
      <c r="L32">
        <v>55250</v>
      </c>
      <c r="M32">
        <v>59050</v>
      </c>
      <c r="N32">
        <v>62850</v>
      </c>
      <c r="O32">
        <v>40020</v>
      </c>
      <c r="P32">
        <v>45720</v>
      </c>
      <c r="Q32">
        <v>51420</v>
      </c>
      <c r="R32">
        <v>57120</v>
      </c>
      <c r="S32">
        <v>61740</v>
      </c>
      <c r="T32">
        <v>66300</v>
      </c>
      <c r="U32">
        <v>70860</v>
      </c>
      <c r="V32">
        <v>75420</v>
      </c>
    </row>
    <row r="33" spans="1:22" x14ac:dyDescent="0.25">
      <c r="A33" t="s">
        <v>409</v>
      </c>
      <c r="F33" s="1164">
        <v>95200</v>
      </c>
      <c r="G33">
        <v>33350</v>
      </c>
      <c r="H33">
        <v>38100</v>
      </c>
      <c r="I33">
        <v>42850</v>
      </c>
      <c r="J33">
        <v>47600</v>
      </c>
      <c r="K33">
        <v>51450</v>
      </c>
      <c r="L33">
        <v>55250</v>
      </c>
      <c r="M33">
        <v>59050</v>
      </c>
      <c r="N33">
        <v>62850</v>
      </c>
      <c r="O33">
        <v>40020</v>
      </c>
      <c r="P33">
        <v>45720</v>
      </c>
      <c r="Q33">
        <v>51420</v>
      </c>
      <c r="R33">
        <v>57120</v>
      </c>
      <c r="S33">
        <v>61740</v>
      </c>
      <c r="T33">
        <v>66300</v>
      </c>
      <c r="U33">
        <v>70860</v>
      </c>
      <c r="V33">
        <v>75420</v>
      </c>
    </row>
    <row r="34" spans="1:22" x14ac:dyDescent="0.25">
      <c r="A34" t="s">
        <v>408</v>
      </c>
      <c r="F34" s="1164">
        <v>93300</v>
      </c>
      <c r="G34">
        <v>33350</v>
      </c>
      <c r="H34">
        <v>38100</v>
      </c>
      <c r="I34">
        <v>42850</v>
      </c>
      <c r="J34">
        <v>47600</v>
      </c>
      <c r="K34">
        <v>51450</v>
      </c>
      <c r="L34">
        <v>55250</v>
      </c>
      <c r="M34">
        <v>59050</v>
      </c>
      <c r="N34">
        <v>62850</v>
      </c>
      <c r="O34">
        <v>40020</v>
      </c>
      <c r="P34">
        <v>45720</v>
      </c>
      <c r="Q34">
        <v>51420</v>
      </c>
      <c r="R34">
        <v>57120</v>
      </c>
      <c r="S34">
        <v>61740</v>
      </c>
      <c r="T34">
        <v>66300</v>
      </c>
      <c r="U34">
        <v>70860</v>
      </c>
      <c r="V34">
        <v>75420</v>
      </c>
    </row>
    <row r="35" spans="1:22" x14ac:dyDescent="0.25">
      <c r="A35" t="s">
        <v>407</v>
      </c>
      <c r="F35" s="1164">
        <v>100800</v>
      </c>
      <c r="G35">
        <v>35300</v>
      </c>
      <c r="H35">
        <v>40350</v>
      </c>
      <c r="I35">
        <v>45400</v>
      </c>
      <c r="J35">
        <v>50400</v>
      </c>
      <c r="K35">
        <v>54450</v>
      </c>
      <c r="L35">
        <v>58500</v>
      </c>
      <c r="M35">
        <v>62500</v>
      </c>
      <c r="N35">
        <v>66550</v>
      </c>
      <c r="O35">
        <v>42360</v>
      </c>
      <c r="P35">
        <v>48420</v>
      </c>
      <c r="Q35">
        <v>54480</v>
      </c>
      <c r="R35">
        <v>60480</v>
      </c>
      <c r="S35">
        <v>65340</v>
      </c>
      <c r="T35">
        <v>70200</v>
      </c>
      <c r="U35">
        <v>75000</v>
      </c>
      <c r="V35">
        <v>79860</v>
      </c>
    </row>
    <row r="36" spans="1:22" x14ac:dyDescent="0.25">
      <c r="A36" t="s">
        <v>406</v>
      </c>
      <c r="F36" s="1164">
        <v>102100</v>
      </c>
      <c r="G36">
        <v>35750</v>
      </c>
      <c r="H36">
        <v>40850</v>
      </c>
      <c r="I36">
        <v>45950</v>
      </c>
      <c r="J36">
        <v>51050</v>
      </c>
      <c r="K36">
        <v>55150</v>
      </c>
      <c r="L36">
        <v>59250</v>
      </c>
      <c r="M36">
        <v>63350</v>
      </c>
      <c r="N36">
        <v>67400</v>
      </c>
      <c r="O36">
        <v>42900</v>
      </c>
      <c r="P36">
        <v>49020</v>
      </c>
      <c r="Q36">
        <v>55140</v>
      </c>
      <c r="R36">
        <v>61260</v>
      </c>
      <c r="S36">
        <v>66180</v>
      </c>
      <c r="T36">
        <v>71100</v>
      </c>
      <c r="U36">
        <v>76020</v>
      </c>
      <c r="V36">
        <v>80880</v>
      </c>
    </row>
    <row r="37" spans="1:22" x14ac:dyDescent="0.25">
      <c r="A37" t="s">
        <v>405</v>
      </c>
      <c r="F37" s="1164">
        <v>92100</v>
      </c>
      <c r="G37">
        <v>33350</v>
      </c>
      <c r="H37">
        <v>38100</v>
      </c>
      <c r="I37">
        <v>42850</v>
      </c>
      <c r="J37">
        <v>47600</v>
      </c>
      <c r="K37">
        <v>51450</v>
      </c>
      <c r="L37">
        <v>55250</v>
      </c>
      <c r="M37">
        <v>59050</v>
      </c>
      <c r="N37">
        <v>62850</v>
      </c>
      <c r="O37">
        <v>40020</v>
      </c>
      <c r="P37">
        <v>45720</v>
      </c>
      <c r="Q37">
        <v>51420</v>
      </c>
      <c r="R37">
        <v>57120</v>
      </c>
      <c r="S37">
        <v>61740</v>
      </c>
      <c r="T37">
        <v>66300</v>
      </c>
      <c r="U37">
        <v>70860</v>
      </c>
      <c r="V37">
        <v>75420</v>
      </c>
    </row>
    <row r="38" spans="1:22" x14ac:dyDescent="0.25">
      <c r="A38" t="s">
        <v>404</v>
      </c>
      <c r="F38" s="1164">
        <v>99900</v>
      </c>
      <c r="G38">
        <v>35000</v>
      </c>
      <c r="H38">
        <v>40000</v>
      </c>
      <c r="I38">
        <v>45000</v>
      </c>
      <c r="J38">
        <v>49950</v>
      </c>
      <c r="K38">
        <v>53950</v>
      </c>
      <c r="L38">
        <v>57950</v>
      </c>
      <c r="M38">
        <v>61950</v>
      </c>
      <c r="N38">
        <v>65950</v>
      </c>
      <c r="O38">
        <v>42000</v>
      </c>
      <c r="P38">
        <v>48000</v>
      </c>
      <c r="Q38">
        <v>54000</v>
      </c>
      <c r="R38">
        <v>59940</v>
      </c>
      <c r="S38">
        <v>64740</v>
      </c>
      <c r="T38">
        <v>69540</v>
      </c>
      <c r="U38">
        <v>74340</v>
      </c>
      <c r="V38">
        <v>79140</v>
      </c>
    </row>
    <row r="39" spans="1:22" x14ac:dyDescent="0.25">
      <c r="A39" t="s">
        <v>403</v>
      </c>
      <c r="F39" s="1164">
        <v>101100</v>
      </c>
      <c r="G39">
        <v>35400</v>
      </c>
      <c r="H39">
        <v>40450</v>
      </c>
      <c r="I39">
        <v>45500</v>
      </c>
      <c r="J39">
        <v>50550</v>
      </c>
      <c r="K39">
        <v>54600</v>
      </c>
      <c r="L39">
        <v>58650</v>
      </c>
      <c r="M39">
        <v>62700</v>
      </c>
      <c r="N39">
        <v>66750</v>
      </c>
      <c r="O39">
        <v>42480</v>
      </c>
      <c r="P39">
        <v>48540</v>
      </c>
      <c r="Q39">
        <v>54600</v>
      </c>
      <c r="R39">
        <v>60660</v>
      </c>
      <c r="S39">
        <v>65520</v>
      </c>
      <c r="T39">
        <v>70380</v>
      </c>
      <c r="U39">
        <v>75240</v>
      </c>
      <c r="V39">
        <v>80100</v>
      </c>
    </row>
    <row r="40" spans="1:22" x14ac:dyDescent="0.25">
      <c r="A40" t="s">
        <v>402</v>
      </c>
      <c r="F40" s="1164">
        <v>96400</v>
      </c>
      <c r="G40">
        <v>33750</v>
      </c>
      <c r="H40">
        <v>38600</v>
      </c>
      <c r="I40">
        <v>43400</v>
      </c>
      <c r="J40">
        <v>48200</v>
      </c>
      <c r="K40">
        <v>52100</v>
      </c>
      <c r="L40">
        <v>55950</v>
      </c>
      <c r="M40">
        <v>59800</v>
      </c>
      <c r="N40">
        <v>63650</v>
      </c>
      <c r="O40">
        <v>40500</v>
      </c>
      <c r="P40">
        <v>46320</v>
      </c>
      <c r="Q40">
        <v>52080</v>
      </c>
      <c r="R40">
        <v>57840</v>
      </c>
      <c r="S40">
        <v>62520</v>
      </c>
      <c r="T40">
        <v>67140</v>
      </c>
      <c r="U40">
        <v>71760</v>
      </c>
      <c r="V40">
        <v>76380</v>
      </c>
    </row>
    <row r="41" spans="1:22" x14ac:dyDescent="0.25">
      <c r="A41" t="s">
        <v>401</v>
      </c>
      <c r="F41" s="1164">
        <v>116800</v>
      </c>
      <c r="G41">
        <v>40900</v>
      </c>
      <c r="H41">
        <v>46750</v>
      </c>
      <c r="I41">
        <v>52600</v>
      </c>
      <c r="J41">
        <v>58400</v>
      </c>
      <c r="K41">
        <v>63100</v>
      </c>
      <c r="L41">
        <v>67750</v>
      </c>
      <c r="M41">
        <v>72450</v>
      </c>
      <c r="N41">
        <v>77100</v>
      </c>
      <c r="O41">
        <v>49080</v>
      </c>
      <c r="P41">
        <v>56100</v>
      </c>
      <c r="Q41">
        <v>63120</v>
      </c>
      <c r="R41">
        <v>70080</v>
      </c>
      <c r="S41">
        <v>75720</v>
      </c>
      <c r="T41">
        <v>81300</v>
      </c>
      <c r="U41">
        <v>86940</v>
      </c>
      <c r="V41">
        <v>92520</v>
      </c>
    </row>
    <row r="42" spans="1:22" x14ac:dyDescent="0.25">
      <c r="A42" t="s">
        <v>400</v>
      </c>
      <c r="F42" s="1164">
        <v>93900</v>
      </c>
      <c r="G42">
        <v>33350</v>
      </c>
      <c r="H42">
        <v>38100</v>
      </c>
      <c r="I42">
        <v>42850</v>
      </c>
      <c r="J42">
        <v>47600</v>
      </c>
      <c r="K42">
        <v>51450</v>
      </c>
      <c r="L42">
        <v>55250</v>
      </c>
      <c r="M42">
        <v>59050</v>
      </c>
      <c r="N42">
        <v>62850</v>
      </c>
      <c r="O42">
        <v>40020</v>
      </c>
      <c r="P42">
        <v>45720</v>
      </c>
      <c r="Q42">
        <v>51420</v>
      </c>
      <c r="R42">
        <v>57120</v>
      </c>
      <c r="S42">
        <v>61740</v>
      </c>
      <c r="T42">
        <v>66300</v>
      </c>
      <c r="U42">
        <v>70860</v>
      </c>
      <c r="V42">
        <v>75420</v>
      </c>
    </row>
    <row r="43" spans="1:22" x14ac:dyDescent="0.25">
      <c r="A43" t="s">
        <v>399</v>
      </c>
      <c r="F43" s="1164">
        <v>101500</v>
      </c>
      <c r="G43">
        <v>35000</v>
      </c>
      <c r="H43">
        <v>40000</v>
      </c>
      <c r="I43">
        <v>45000</v>
      </c>
      <c r="J43">
        <v>50000</v>
      </c>
      <c r="K43">
        <v>54000</v>
      </c>
      <c r="L43">
        <v>58000</v>
      </c>
      <c r="M43">
        <v>62000</v>
      </c>
      <c r="N43">
        <v>66000</v>
      </c>
      <c r="O43">
        <v>42000</v>
      </c>
      <c r="P43">
        <v>48000</v>
      </c>
      <c r="Q43">
        <v>54000</v>
      </c>
      <c r="R43">
        <v>60000</v>
      </c>
      <c r="S43">
        <v>64800</v>
      </c>
      <c r="T43">
        <v>69600</v>
      </c>
      <c r="U43">
        <v>74400</v>
      </c>
      <c r="V43">
        <v>79200</v>
      </c>
    </row>
    <row r="44" spans="1:22" x14ac:dyDescent="0.25">
      <c r="A44" t="s">
        <v>398</v>
      </c>
      <c r="F44" s="1164">
        <v>108900</v>
      </c>
      <c r="G44">
        <v>38150</v>
      </c>
      <c r="H44">
        <v>43600</v>
      </c>
      <c r="I44">
        <v>49050</v>
      </c>
      <c r="J44">
        <v>54450</v>
      </c>
      <c r="K44">
        <v>58850</v>
      </c>
      <c r="L44">
        <v>63200</v>
      </c>
      <c r="M44">
        <v>67550</v>
      </c>
      <c r="N44">
        <v>71900</v>
      </c>
      <c r="O44">
        <v>45780</v>
      </c>
      <c r="P44">
        <v>52320</v>
      </c>
      <c r="Q44">
        <v>58860</v>
      </c>
      <c r="R44">
        <v>65340</v>
      </c>
      <c r="S44">
        <v>70620</v>
      </c>
      <c r="T44">
        <v>75840</v>
      </c>
      <c r="U44">
        <v>81060</v>
      </c>
      <c r="V44">
        <v>86280</v>
      </c>
    </row>
    <row r="45" spans="1:22" x14ac:dyDescent="0.25">
      <c r="A45" t="s">
        <v>397</v>
      </c>
      <c r="F45" s="1164">
        <v>69500</v>
      </c>
      <c r="G45">
        <v>33350</v>
      </c>
      <c r="H45">
        <v>38100</v>
      </c>
      <c r="I45">
        <v>42850</v>
      </c>
      <c r="J45">
        <v>47600</v>
      </c>
      <c r="K45">
        <v>51450</v>
      </c>
      <c r="L45">
        <v>55250</v>
      </c>
      <c r="M45">
        <v>59050</v>
      </c>
      <c r="N45">
        <v>62850</v>
      </c>
      <c r="O45">
        <v>40020</v>
      </c>
      <c r="P45">
        <v>45720</v>
      </c>
      <c r="Q45">
        <v>51420</v>
      </c>
      <c r="R45">
        <v>57120</v>
      </c>
      <c r="S45">
        <v>61740</v>
      </c>
      <c r="T45">
        <v>66300</v>
      </c>
      <c r="U45">
        <v>70860</v>
      </c>
      <c r="V45">
        <v>75420</v>
      </c>
    </row>
    <row r="46" spans="1:22" x14ac:dyDescent="0.25">
      <c r="A46" t="s">
        <v>396</v>
      </c>
      <c r="F46" s="1164">
        <v>99500</v>
      </c>
      <c r="G46">
        <v>34850</v>
      </c>
      <c r="H46">
        <v>39800</v>
      </c>
      <c r="I46">
        <v>44800</v>
      </c>
      <c r="J46">
        <v>49750</v>
      </c>
      <c r="K46">
        <v>53750</v>
      </c>
      <c r="L46">
        <v>57750</v>
      </c>
      <c r="M46">
        <v>61700</v>
      </c>
      <c r="N46">
        <v>65700</v>
      </c>
      <c r="O46">
        <v>41820</v>
      </c>
      <c r="P46">
        <v>47760</v>
      </c>
      <c r="Q46">
        <v>53760</v>
      </c>
      <c r="R46">
        <v>59700</v>
      </c>
      <c r="S46">
        <v>64500</v>
      </c>
      <c r="T46">
        <v>69300</v>
      </c>
      <c r="U46">
        <v>74040</v>
      </c>
      <c r="V46">
        <v>78840</v>
      </c>
    </row>
    <row r="47" spans="1:22" x14ac:dyDescent="0.25">
      <c r="A47" t="s">
        <v>395</v>
      </c>
      <c r="F47" s="1164">
        <v>91700</v>
      </c>
      <c r="G47">
        <v>33350</v>
      </c>
      <c r="H47">
        <v>38100</v>
      </c>
      <c r="I47">
        <v>42850</v>
      </c>
      <c r="J47">
        <v>47600</v>
      </c>
      <c r="K47">
        <v>51450</v>
      </c>
      <c r="L47">
        <v>55250</v>
      </c>
      <c r="M47">
        <v>59050</v>
      </c>
      <c r="N47">
        <v>62850</v>
      </c>
      <c r="O47">
        <v>40020</v>
      </c>
      <c r="P47">
        <v>45720</v>
      </c>
      <c r="Q47">
        <v>51420</v>
      </c>
      <c r="R47">
        <v>57120</v>
      </c>
      <c r="S47">
        <v>61740</v>
      </c>
      <c r="T47">
        <v>66300</v>
      </c>
      <c r="U47">
        <v>70860</v>
      </c>
      <c r="V47">
        <v>75420</v>
      </c>
    </row>
    <row r="48" spans="1:22" x14ac:dyDescent="0.25">
      <c r="A48" t="s">
        <v>394</v>
      </c>
      <c r="F48" s="1164">
        <v>103400</v>
      </c>
      <c r="G48">
        <v>36200</v>
      </c>
      <c r="H48">
        <v>41400</v>
      </c>
      <c r="I48">
        <v>46550</v>
      </c>
      <c r="J48">
        <v>51700</v>
      </c>
      <c r="K48">
        <v>55850</v>
      </c>
      <c r="L48">
        <v>60000</v>
      </c>
      <c r="M48">
        <v>64150</v>
      </c>
      <c r="N48">
        <v>68250</v>
      </c>
      <c r="O48">
        <v>43440</v>
      </c>
      <c r="P48">
        <v>49680</v>
      </c>
      <c r="Q48">
        <v>55860</v>
      </c>
      <c r="R48">
        <v>62040</v>
      </c>
      <c r="S48">
        <v>67020</v>
      </c>
      <c r="T48">
        <v>72000</v>
      </c>
      <c r="U48">
        <v>76980</v>
      </c>
      <c r="V48">
        <v>81900</v>
      </c>
    </row>
    <row r="49" spans="1:22" x14ac:dyDescent="0.25">
      <c r="A49" t="s">
        <v>393</v>
      </c>
      <c r="F49" s="1164">
        <v>93500</v>
      </c>
      <c r="G49">
        <v>33350</v>
      </c>
      <c r="H49">
        <v>38100</v>
      </c>
      <c r="I49">
        <v>42850</v>
      </c>
      <c r="J49">
        <v>47600</v>
      </c>
      <c r="K49">
        <v>51450</v>
      </c>
      <c r="L49">
        <v>55250</v>
      </c>
      <c r="M49">
        <v>59050</v>
      </c>
      <c r="N49">
        <v>62850</v>
      </c>
      <c r="O49">
        <v>40020</v>
      </c>
      <c r="P49">
        <v>45720</v>
      </c>
      <c r="Q49">
        <v>51420</v>
      </c>
      <c r="R49">
        <v>57120</v>
      </c>
      <c r="S49">
        <v>61740</v>
      </c>
      <c r="T49">
        <v>66300</v>
      </c>
      <c r="U49">
        <v>70860</v>
      </c>
      <c r="V49">
        <v>75420</v>
      </c>
    </row>
    <row r="50" spans="1:22" x14ac:dyDescent="0.25">
      <c r="A50" t="s">
        <v>392</v>
      </c>
      <c r="F50" s="1164">
        <v>93000</v>
      </c>
      <c r="G50">
        <v>33350</v>
      </c>
      <c r="H50">
        <v>38100</v>
      </c>
      <c r="I50">
        <v>42850</v>
      </c>
      <c r="J50">
        <v>47600</v>
      </c>
      <c r="K50">
        <v>51450</v>
      </c>
      <c r="L50">
        <v>55250</v>
      </c>
      <c r="M50">
        <v>59050</v>
      </c>
      <c r="N50">
        <v>62850</v>
      </c>
      <c r="O50">
        <v>40020</v>
      </c>
      <c r="P50">
        <v>45720</v>
      </c>
      <c r="Q50">
        <v>51420</v>
      </c>
      <c r="R50">
        <v>57120</v>
      </c>
      <c r="S50">
        <v>61740</v>
      </c>
      <c r="T50">
        <v>66300</v>
      </c>
      <c r="U50">
        <v>70860</v>
      </c>
      <c r="V50">
        <v>75420</v>
      </c>
    </row>
    <row r="51" spans="1:22" x14ac:dyDescent="0.25">
      <c r="A51" t="s">
        <v>391</v>
      </c>
      <c r="F51" s="1164">
        <v>98500</v>
      </c>
      <c r="G51">
        <v>34500</v>
      </c>
      <c r="H51">
        <v>39400</v>
      </c>
      <c r="I51">
        <v>44350</v>
      </c>
      <c r="J51">
        <v>49250</v>
      </c>
      <c r="K51">
        <v>53200</v>
      </c>
      <c r="L51">
        <v>57150</v>
      </c>
      <c r="M51">
        <v>61100</v>
      </c>
      <c r="N51">
        <v>65050</v>
      </c>
      <c r="O51">
        <v>41400</v>
      </c>
      <c r="P51">
        <v>47280</v>
      </c>
      <c r="Q51">
        <v>53220</v>
      </c>
      <c r="R51">
        <v>59100</v>
      </c>
      <c r="S51">
        <v>63840</v>
      </c>
      <c r="T51">
        <v>68580</v>
      </c>
      <c r="U51">
        <v>73320</v>
      </c>
      <c r="V51">
        <v>78060</v>
      </c>
    </row>
    <row r="52" spans="1:22" x14ac:dyDescent="0.25">
      <c r="A52" t="s">
        <v>390</v>
      </c>
      <c r="F52" s="1164">
        <v>100900</v>
      </c>
      <c r="G52">
        <v>35350</v>
      </c>
      <c r="H52">
        <v>40400</v>
      </c>
      <c r="I52">
        <v>45450</v>
      </c>
      <c r="J52">
        <v>50450</v>
      </c>
      <c r="K52">
        <v>54500</v>
      </c>
      <c r="L52">
        <v>58550</v>
      </c>
      <c r="M52">
        <v>62600</v>
      </c>
      <c r="N52">
        <v>66600</v>
      </c>
      <c r="O52">
        <v>42420</v>
      </c>
      <c r="P52">
        <v>48480</v>
      </c>
      <c r="Q52">
        <v>54540</v>
      </c>
      <c r="R52">
        <v>60540</v>
      </c>
      <c r="S52">
        <v>65400</v>
      </c>
      <c r="T52">
        <v>70260</v>
      </c>
      <c r="U52">
        <v>75120</v>
      </c>
      <c r="V52">
        <v>79920</v>
      </c>
    </row>
    <row r="53" spans="1:22" x14ac:dyDescent="0.25">
      <c r="A53" t="s">
        <v>389</v>
      </c>
      <c r="F53" s="1164">
        <v>104700</v>
      </c>
      <c r="G53">
        <v>36650</v>
      </c>
      <c r="H53">
        <v>41900</v>
      </c>
      <c r="I53">
        <v>47150</v>
      </c>
      <c r="J53">
        <v>52350</v>
      </c>
      <c r="K53">
        <v>56550</v>
      </c>
      <c r="L53">
        <v>60750</v>
      </c>
      <c r="M53">
        <v>64950</v>
      </c>
      <c r="N53">
        <v>69150</v>
      </c>
      <c r="O53">
        <v>43980</v>
      </c>
      <c r="P53">
        <v>50280</v>
      </c>
      <c r="Q53">
        <v>56580</v>
      </c>
      <c r="R53">
        <v>62820</v>
      </c>
      <c r="S53">
        <v>67860</v>
      </c>
      <c r="T53">
        <v>72900</v>
      </c>
      <c r="U53">
        <v>77940</v>
      </c>
      <c r="V53">
        <v>82980</v>
      </c>
    </row>
    <row r="54" spans="1:22" x14ac:dyDescent="0.25">
      <c r="A54" t="s">
        <v>388</v>
      </c>
      <c r="F54" s="1164">
        <v>86300</v>
      </c>
      <c r="G54">
        <v>33350</v>
      </c>
      <c r="H54">
        <v>38100</v>
      </c>
      <c r="I54">
        <v>42850</v>
      </c>
      <c r="J54">
        <v>47600</v>
      </c>
      <c r="K54">
        <v>51450</v>
      </c>
      <c r="L54">
        <v>55250</v>
      </c>
      <c r="M54">
        <v>59050</v>
      </c>
      <c r="N54">
        <v>62850</v>
      </c>
      <c r="O54">
        <v>40020</v>
      </c>
      <c r="P54">
        <v>45720</v>
      </c>
      <c r="Q54">
        <v>51420</v>
      </c>
      <c r="R54">
        <v>57120</v>
      </c>
      <c r="S54">
        <v>61740</v>
      </c>
      <c r="T54">
        <v>66300</v>
      </c>
      <c r="U54">
        <v>70860</v>
      </c>
      <c r="V54">
        <v>75420</v>
      </c>
    </row>
    <row r="55" spans="1:22" x14ac:dyDescent="0.25">
      <c r="A55" t="s">
        <v>387</v>
      </c>
      <c r="F55" s="1164">
        <v>100500</v>
      </c>
      <c r="G55">
        <v>35200</v>
      </c>
      <c r="H55">
        <v>40200</v>
      </c>
      <c r="I55">
        <v>45250</v>
      </c>
      <c r="J55">
        <v>50250</v>
      </c>
      <c r="K55">
        <v>54300</v>
      </c>
      <c r="L55">
        <v>58300</v>
      </c>
      <c r="M55">
        <v>62350</v>
      </c>
      <c r="N55">
        <v>66350</v>
      </c>
      <c r="O55">
        <v>42240</v>
      </c>
      <c r="P55">
        <v>48240</v>
      </c>
      <c r="Q55">
        <v>54300</v>
      </c>
      <c r="R55">
        <v>60300</v>
      </c>
      <c r="S55">
        <v>65160</v>
      </c>
      <c r="T55">
        <v>69960</v>
      </c>
      <c r="U55">
        <v>74820</v>
      </c>
      <c r="V55">
        <v>79620</v>
      </c>
    </row>
    <row r="56" spans="1:22" x14ac:dyDescent="0.25">
      <c r="A56" t="s">
        <v>386</v>
      </c>
      <c r="F56" s="1164">
        <v>125600</v>
      </c>
      <c r="G56">
        <v>44000</v>
      </c>
      <c r="H56">
        <v>50250</v>
      </c>
      <c r="I56">
        <v>56550</v>
      </c>
      <c r="J56">
        <v>62800</v>
      </c>
      <c r="K56">
        <v>67850</v>
      </c>
      <c r="L56">
        <v>72850</v>
      </c>
      <c r="M56">
        <v>77900</v>
      </c>
      <c r="N56">
        <v>82900</v>
      </c>
      <c r="O56">
        <v>52800</v>
      </c>
      <c r="P56">
        <v>60300</v>
      </c>
      <c r="Q56">
        <v>67860</v>
      </c>
      <c r="R56">
        <v>75360</v>
      </c>
      <c r="S56">
        <v>81420</v>
      </c>
      <c r="T56">
        <v>87420</v>
      </c>
      <c r="U56">
        <v>93480</v>
      </c>
      <c r="V56">
        <v>99480</v>
      </c>
    </row>
    <row r="57" spans="1:22" x14ac:dyDescent="0.25">
      <c r="A57" t="s">
        <v>385</v>
      </c>
      <c r="F57" s="1164">
        <v>100100</v>
      </c>
      <c r="G57">
        <v>35050</v>
      </c>
      <c r="H57">
        <v>40050</v>
      </c>
      <c r="I57">
        <v>45050</v>
      </c>
      <c r="J57">
        <v>50050</v>
      </c>
      <c r="K57">
        <v>54100</v>
      </c>
      <c r="L57">
        <v>58100</v>
      </c>
      <c r="M57">
        <v>62100</v>
      </c>
      <c r="N57">
        <v>66100</v>
      </c>
      <c r="O57">
        <v>42060</v>
      </c>
      <c r="P57">
        <v>48060</v>
      </c>
      <c r="Q57">
        <v>54060</v>
      </c>
      <c r="R57">
        <v>60060</v>
      </c>
      <c r="S57">
        <v>64920</v>
      </c>
      <c r="T57">
        <v>69720</v>
      </c>
      <c r="U57">
        <v>74520</v>
      </c>
      <c r="V57">
        <v>79320</v>
      </c>
    </row>
    <row r="58" spans="1:22" x14ac:dyDescent="0.25">
      <c r="A58" t="s">
        <v>384</v>
      </c>
      <c r="F58" s="1164">
        <v>107500</v>
      </c>
      <c r="G58">
        <v>37200</v>
      </c>
      <c r="H58">
        <v>42450</v>
      </c>
      <c r="I58">
        <v>47800</v>
      </c>
      <c r="J58">
        <v>53100</v>
      </c>
      <c r="K58">
        <v>57350</v>
      </c>
      <c r="L58">
        <v>61600</v>
      </c>
      <c r="M58">
        <v>65850</v>
      </c>
      <c r="N58">
        <v>70100</v>
      </c>
      <c r="O58">
        <v>44640</v>
      </c>
      <c r="P58">
        <v>50940</v>
      </c>
      <c r="Q58">
        <v>57360</v>
      </c>
      <c r="R58">
        <v>63720</v>
      </c>
      <c r="S58">
        <v>68820</v>
      </c>
      <c r="T58">
        <v>73920</v>
      </c>
      <c r="U58">
        <v>79020</v>
      </c>
      <c r="V58">
        <v>84120</v>
      </c>
    </row>
    <row r="59" spans="1:22" x14ac:dyDescent="0.25">
      <c r="A59" t="s">
        <v>383</v>
      </c>
      <c r="F59" s="1164">
        <v>90400</v>
      </c>
      <c r="G59">
        <v>33350</v>
      </c>
      <c r="H59">
        <v>38100</v>
      </c>
      <c r="I59">
        <v>42850</v>
      </c>
      <c r="J59">
        <v>47600</v>
      </c>
      <c r="K59">
        <v>51450</v>
      </c>
      <c r="L59">
        <v>55250</v>
      </c>
      <c r="M59">
        <v>59050</v>
      </c>
      <c r="N59">
        <v>62850</v>
      </c>
      <c r="O59">
        <v>40020</v>
      </c>
      <c r="P59">
        <v>45720</v>
      </c>
      <c r="Q59">
        <v>51420</v>
      </c>
      <c r="R59">
        <v>57120</v>
      </c>
      <c r="S59">
        <v>61740</v>
      </c>
      <c r="T59">
        <v>66300</v>
      </c>
      <c r="U59">
        <v>70860</v>
      </c>
      <c r="V59">
        <v>75420</v>
      </c>
    </row>
    <row r="60" spans="1:22" x14ac:dyDescent="0.25">
      <c r="A60" t="s">
        <v>382</v>
      </c>
      <c r="F60" s="1164">
        <v>89100</v>
      </c>
      <c r="G60">
        <v>33350</v>
      </c>
      <c r="H60">
        <v>38100</v>
      </c>
      <c r="I60">
        <v>42850</v>
      </c>
      <c r="J60">
        <v>47600</v>
      </c>
      <c r="K60">
        <v>51450</v>
      </c>
      <c r="L60">
        <v>55250</v>
      </c>
      <c r="M60">
        <v>59050</v>
      </c>
      <c r="N60">
        <v>62850</v>
      </c>
      <c r="O60">
        <v>40020</v>
      </c>
      <c r="P60">
        <v>45720</v>
      </c>
      <c r="Q60">
        <v>51420</v>
      </c>
      <c r="R60">
        <v>57120</v>
      </c>
      <c r="S60">
        <v>61740</v>
      </c>
      <c r="T60">
        <v>66300</v>
      </c>
      <c r="U60">
        <v>70860</v>
      </c>
      <c r="V60">
        <v>75420</v>
      </c>
    </row>
    <row r="61" spans="1:22" x14ac:dyDescent="0.25">
      <c r="A61" t="s">
        <v>381</v>
      </c>
      <c r="F61" s="1164">
        <v>102800</v>
      </c>
      <c r="G61">
        <v>36550</v>
      </c>
      <c r="H61">
        <v>41800</v>
      </c>
      <c r="I61">
        <v>47000</v>
      </c>
      <c r="J61">
        <v>52200</v>
      </c>
      <c r="K61">
        <v>56400</v>
      </c>
      <c r="L61">
        <v>60600</v>
      </c>
      <c r="M61">
        <v>64750</v>
      </c>
      <c r="N61">
        <v>68950</v>
      </c>
      <c r="O61">
        <v>43860</v>
      </c>
      <c r="P61">
        <v>50160</v>
      </c>
      <c r="Q61">
        <v>56400</v>
      </c>
      <c r="R61">
        <v>62640</v>
      </c>
      <c r="S61">
        <v>67680</v>
      </c>
      <c r="T61">
        <v>72720</v>
      </c>
      <c r="U61">
        <v>77700</v>
      </c>
      <c r="V61">
        <v>82740</v>
      </c>
    </row>
    <row r="62" spans="1:22" x14ac:dyDescent="0.25">
      <c r="A62" t="s">
        <v>380</v>
      </c>
      <c r="F62" s="1164">
        <v>104000</v>
      </c>
      <c r="G62">
        <v>36400</v>
      </c>
      <c r="H62">
        <v>41600</v>
      </c>
      <c r="I62">
        <v>46800</v>
      </c>
      <c r="J62">
        <v>52000</v>
      </c>
      <c r="K62">
        <v>56200</v>
      </c>
      <c r="L62">
        <v>60350</v>
      </c>
      <c r="M62">
        <v>64500</v>
      </c>
      <c r="N62">
        <v>68650</v>
      </c>
      <c r="O62">
        <v>43680</v>
      </c>
      <c r="P62">
        <v>49920</v>
      </c>
      <c r="Q62">
        <v>56160</v>
      </c>
      <c r="R62">
        <v>62400</v>
      </c>
      <c r="S62">
        <v>67440</v>
      </c>
      <c r="T62">
        <v>72420</v>
      </c>
      <c r="U62">
        <v>77400</v>
      </c>
      <c r="V62">
        <v>82380</v>
      </c>
    </row>
    <row r="63" spans="1:22" x14ac:dyDescent="0.25">
      <c r="A63" t="s">
        <v>379</v>
      </c>
      <c r="F63" s="1164">
        <v>132400</v>
      </c>
      <c r="G63">
        <v>46350</v>
      </c>
      <c r="H63">
        <v>53000</v>
      </c>
      <c r="I63">
        <v>59600</v>
      </c>
      <c r="J63">
        <v>66200</v>
      </c>
      <c r="K63">
        <v>71500</v>
      </c>
      <c r="L63">
        <v>76800</v>
      </c>
      <c r="M63">
        <v>82100</v>
      </c>
      <c r="N63">
        <v>87400</v>
      </c>
      <c r="O63">
        <v>55620</v>
      </c>
      <c r="P63">
        <v>63600</v>
      </c>
      <c r="Q63">
        <v>71520</v>
      </c>
      <c r="R63">
        <v>79440</v>
      </c>
      <c r="S63">
        <v>85800</v>
      </c>
      <c r="T63">
        <v>92160</v>
      </c>
      <c r="U63">
        <v>98520</v>
      </c>
      <c r="V63">
        <v>104880</v>
      </c>
    </row>
    <row r="64" spans="1:22" x14ac:dyDescent="0.25">
      <c r="A64" t="s">
        <v>378</v>
      </c>
      <c r="F64" s="1164">
        <v>104400</v>
      </c>
      <c r="G64">
        <v>36550</v>
      </c>
      <c r="H64">
        <v>41800</v>
      </c>
      <c r="I64">
        <v>47000</v>
      </c>
      <c r="J64">
        <v>52200</v>
      </c>
      <c r="K64">
        <v>56400</v>
      </c>
      <c r="L64">
        <v>60600</v>
      </c>
      <c r="M64">
        <v>64750</v>
      </c>
      <c r="N64">
        <v>68950</v>
      </c>
      <c r="O64">
        <v>43860</v>
      </c>
      <c r="P64">
        <v>50160</v>
      </c>
      <c r="Q64">
        <v>56400</v>
      </c>
      <c r="R64">
        <v>62640</v>
      </c>
      <c r="S64">
        <v>67680</v>
      </c>
      <c r="T64">
        <v>72720</v>
      </c>
      <c r="U64">
        <v>77700</v>
      </c>
      <c r="V64">
        <v>82740</v>
      </c>
    </row>
    <row r="65" spans="1:22" x14ac:dyDescent="0.25">
      <c r="A65" t="s">
        <v>377</v>
      </c>
      <c r="F65" s="1164">
        <v>92400</v>
      </c>
      <c r="G65">
        <v>33350</v>
      </c>
      <c r="H65">
        <v>38100</v>
      </c>
      <c r="I65">
        <v>42850</v>
      </c>
      <c r="J65">
        <v>47600</v>
      </c>
      <c r="K65">
        <v>51450</v>
      </c>
      <c r="L65">
        <v>55250</v>
      </c>
      <c r="M65">
        <v>59050</v>
      </c>
      <c r="N65">
        <v>62850</v>
      </c>
      <c r="O65">
        <v>40020</v>
      </c>
      <c r="P65">
        <v>45720</v>
      </c>
      <c r="Q65">
        <v>51420</v>
      </c>
      <c r="R65">
        <v>57120</v>
      </c>
      <c r="S65">
        <v>61740</v>
      </c>
      <c r="T65">
        <v>66300</v>
      </c>
      <c r="U65">
        <v>70860</v>
      </c>
      <c r="V65">
        <v>75420</v>
      </c>
    </row>
    <row r="66" spans="1:22" x14ac:dyDescent="0.25">
      <c r="A66" t="s">
        <v>376</v>
      </c>
      <c r="F66" s="1164">
        <v>95300</v>
      </c>
      <c r="G66">
        <v>33400</v>
      </c>
      <c r="H66">
        <v>38150</v>
      </c>
      <c r="I66">
        <v>42900</v>
      </c>
      <c r="J66">
        <v>47650</v>
      </c>
      <c r="K66">
        <v>51500</v>
      </c>
      <c r="L66">
        <v>55300</v>
      </c>
      <c r="M66">
        <v>59100</v>
      </c>
      <c r="N66">
        <v>62900</v>
      </c>
      <c r="O66">
        <v>40080</v>
      </c>
      <c r="P66">
        <v>45780</v>
      </c>
      <c r="Q66">
        <v>51480</v>
      </c>
      <c r="R66">
        <v>57180</v>
      </c>
      <c r="S66">
        <v>61800</v>
      </c>
      <c r="T66">
        <v>66360</v>
      </c>
      <c r="U66">
        <v>70920</v>
      </c>
      <c r="V66">
        <v>75480</v>
      </c>
    </row>
    <row r="67" spans="1:22" x14ac:dyDescent="0.25">
      <c r="A67" t="s">
        <v>375</v>
      </c>
      <c r="F67" s="1164">
        <v>107700</v>
      </c>
      <c r="G67">
        <v>37700</v>
      </c>
      <c r="H67">
        <v>43100</v>
      </c>
      <c r="I67">
        <v>48500</v>
      </c>
      <c r="J67">
        <v>53850</v>
      </c>
      <c r="K67">
        <v>58200</v>
      </c>
      <c r="L67">
        <v>62500</v>
      </c>
      <c r="M67">
        <v>66800</v>
      </c>
      <c r="N67">
        <v>71100</v>
      </c>
      <c r="O67">
        <v>45240</v>
      </c>
      <c r="P67">
        <v>51720</v>
      </c>
      <c r="Q67">
        <v>58200</v>
      </c>
      <c r="R67">
        <v>64620</v>
      </c>
      <c r="S67">
        <v>69840</v>
      </c>
      <c r="T67">
        <v>75000</v>
      </c>
      <c r="U67">
        <v>80160</v>
      </c>
      <c r="V67">
        <v>85320</v>
      </c>
    </row>
    <row r="68" spans="1:22" x14ac:dyDescent="0.25">
      <c r="A68" t="s">
        <v>374</v>
      </c>
      <c r="F68" s="1164">
        <v>102600</v>
      </c>
      <c r="G68">
        <v>35950</v>
      </c>
      <c r="H68">
        <v>41050</v>
      </c>
      <c r="I68">
        <v>46200</v>
      </c>
      <c r="J68">
        <v>51300</v>
      </c>
      <c r="K68">
        <v>55450</v>
      </c>
      <c r="L68">
        <v>59550</v>
      </c>
      <c r="M68">
        <v>63650</v>
      </c>
      <c r="N68">
        <v>67750</v>
      </c>
      <c r="O68">
        <v>43140</v>
      </c>
      <c r="P68">
        <v>49260</v>
      </c>
      <c r="Q68">
        <v>55440</v>
      </c>
      <c r="R68">
        <v>61560</v>
      </c>
      <c r="S68">
        <v>66540</v>
      </c>
      <c r="T68">
        <v>71460</v>
      </c>
      <c r="U68">
        <v>76380</v>
      </c>
      <c r="V68">
        <v>81300</v>
      </c>
    </row>
    <row r="69" spans="1:22" x14ac:dyDescent="0.25">
      <c r="A69" t="s">
        <v>373</v>
      </c>
      <c r="F69" s="1164">
        <v>96200</v>
      </c>
      <c r="G69">
        <v>33700</v>
      </c>
      <c r="H69">
        <v>38500</v>
      </c>
      <c r="I69">
        <v>43300</v>
      </c>
      <c r="J69">
        <v>48100</v>
      </c>
      <c r="K69">
        <v>51950</v>
      </c>
      <c r="L69">
        <v>55800</v>
      </c>
      <c r="M69">
        <v>59650</v>
      </c>
      <c r="N69">
        <v>63500</v>
      </c>
      <c r="O69">
        <v>40440</v>
      </c>
      <c r="P69">
        <v>46200</v>
      </c>
      <c r="Q69">
        <v>51960</v>
      </c>
      <c r="R69">
        <v>57720</v>
      </c>
      <c r="S69">
        <v>62340</v>
      </c>
      <c r="T69">
        <v>66960</v>
      </c>
      <c r="U69">
        <v>71580</v>
      </c>
      <c r="V69">
        <v>76200</v>
      </c>
    </row>
    <row r="70" spans="1:22" x14ac:dyDescent="0.25">
      <c r="A70" t="s">
        <v>372</v>
      </c>
      <c r="F70" s="1164">
        <v>100600</v>
      </c>
      <c r="G70">
        <v>35250</v>
      </c>
      <c r="H70">
        <v>40250</v>
      </c>
      <c r="I70">
        <v>45300</v>
      </c>
      <c r="J70">
        <v>50300</v>
      </c>
      <c r="K70">
        <v>54350</v>
      </c>
      <c r="L70">
        <v>58350</v>
      </c>
      <c r="M70">
        <v>62400</v>
      </c>
      <c r="N70">
        <v>66400</v>
      </c>
      <c r="O70">
        <v>42300</v>
      </c>
      <c r="P70">
        <v>48300</v>
      </c>
      <c r="Q70">
        <v>54360</v>
      </c>
      <c r="R70">
        <v>60360</v>
      </c>
      <c r="S70">
        <v>65220</v>
      </c>
      <c r="T70">
        <v>70020</v>
      </c>
      <c r="U70">
        <v>74880</v>
      </c>
      <c r="V70">
        <v>79680</v>
      </c>
    </row>
    <row r="71" spans="1:22" x14ac:dyDescent="0.25">
      <c r="A71" t="s">
        <v>371</v>
      </c>
      <c r="F71" s="1164">
        <v>132400</v>
      </c>
      <c r="G71">
        <v>46350</v>
      </c>
      <c r="H71">
        <v>53000</v>
      </c>
      <c r="I71">
        <v>59600</v>
      </c>
      <c r="J71">
        <v>66200</v>
      </c>
      <c r="K71">
        <v>71500</v>
      </c>
      <c r="L71">
        <v>76800</v>
      </c>
      <c r="M71">
        <v>82100</v>
      </c>
      <c r="N71">
        <v>87400</v>
      </c>
      <c r="O71">
        <v>55620</v>
      </c>
      <c r="P71">
        <v>63600</v>
      </c>
      <c r="Q71">
        <v>71520</v>
      </c>
      <c r="R71">
        <v>79440</v>
      </c>
      <c r="S71">
        <v>85800</v>
      </c>
      <c r="T71">
        <v>92160</v>
      </c>
      <c r="U71">
        <v>98520</v>
      </c>
      <c r="V71">
        <v>104880</v>
      </c>
    </row>
    <row r="72" spans="1:22" x14ac:dyDescent="0.25">
      <c r="A72" t="s">
        <v>370</v>
      </c>
      <c r="F72" s="1164">
        <v>132400</v>
      </c>
      <c r="G72">
        <v>46350</v>
      </c>
      <c r="H72">
        <v>53000</v>
      </c>
      <c r="I72">
        <v>59600</v>
      </c>
      <c r="J72">
        <v>66200</v>
      </c>
      <c r="K72">
        <v>71500</v>
      </c>
      <c r="L72">
        <v>76800</v>
      </c>
      <c r="M72">
        <v>82100</v>
      </c>
      <c r="N72">
        <v>87400</v>
      </c>
      <c r="O72">
        <v>55620</v>
      </c>
      <c r="P72">
        <v>63600</v>
      </c>
      <c r="Q72">
        <v>71520</v>
      </c>
      <c r="R72">
        <v>79440</v>
      </c>
      <c r="S72">
        <v>85800</v>
      </c>
      <c r="T72">
        <v>92160</v>
      </c>
      <c r="U72">
        <v>98520</v>
      </c>
      <c r="V72">
        <v>104880</v>
      </c>
    </row>
    <row r="73" spans="1:22" x14ac:dyDescent="0.25">
      <c r="A73" t="s">
        <v>369</v>
      </c>
      <c r="F73" s="1164">
        <v>101700</v>
      </c>
      <c r="G73">
        <v>35600</v>
      </c>
      <c r="H73">
        <v>40700</v>
      </c>
      <c r="I73">
        <v>45800</v>
      </c>
      <c r="J73">
        <v>50850</v>
      </c>
      <c r="K73">
        <v>54950</v>
      </c>
      <c r="L73">
        <v>59000</v>
      </c>
      <c r="M73">
        <v>63100</v>
      </c>
      <c r="N73">
        <v>67150</v>
      </c>
      <c r="O73">
        <v>42720</v>
      </c>
      <c r="P73">
        <v>48840</v>
      </c>
      <c r="Q73">
        <v>54960</v>
      </c>
      <c r="R73">
        <v>61020</v>
      </c>
      <c r="S73">
        <v>65940</v>
      </c>
      <c r="T73">
        <v>70800</v>
      </c>
      <c r="U73">
        <v>75720</v>
      </c>
      <c r="V73">
        <v>80580</v>
      </c>
    </row>
    <row r="74" spans="1:22" x14ac:dyDescent="0.25">
      <c r="A74" t="s">
        <v>368</v>
      </c>
      <c r="F74" s="1164">
        <v>103200</v>
      </c>
      <c r="G74">
        <v>36150</v>
      </c>
      <c r="H74">
        <v>41300</v>
      </c>
      <c r="I74">
        <v>46450</v>
      </c>
      <c r="J74">
        <v>51600</v>
      </c>
      <c r="K74">
        <v>55750</v>
      </c>
      <c r="L74">
        <v>59900</v>
      </c>
      <c r="M74">
        <v>64000</v>
      </c>
      <c r="N74">
        <v>68150</v>
      </c>
      <c r="O74">
        <v>43380</v>
      </c>
      <c r="P74">
        <v>49560</v>
      </c>
      <c r="Q74">
        <v>55740</v>
      </c>
      <c r="R74">
        <v>61920</v>
      </c>
      <c r="S74">
        <v>66900</v>
      </c>
      <c r="T74">
        <v>71880</v>
      </c>
      <c r="U74">
        <v>76800</v>
      </c>
      <c r="V74">
        <v>81780</v>
      </c>
    </row>
    <row r="75" spans="1:22" x14ac:dyDescent="0.25">
      <c r="A75" t="s">
        <v>367</v>
      </c>
      <c r="F75" s="1164">
        <v>114800</v>
      </c>
      <c r="G75">
        <v>40200</v>
      </c>
      <c r="H75">
        <v>45950</v>
      </c>
      <c r="I75">
        <v>51700</v>
      </c>
      <c r="J75">
        <v>57400</v>
      </c>
      <c r="K75">
        <v>62000</v>
      </c>
      <c r="L75">
        <v>66600</v>
      </c>
      <c r="M75">
        <v>71200</v>
      </c>
      <c r="N75">
        <v>75800</v>
      </c>
      <c r="O75">
        <v>48240</v>
      </c>
      <c r="P75">
        <v>55140</v>
      </c>
      <c r="Q75">
        <v>62040</v>
      </c>
      <c r="R75">
        <v>68880</v>
      </c>
      <c r="S75">
        <v>74400</v>
      </c>
      <c r="T75">
        <v>79920</v>
      </c>
      <c r="U75">
        <v>85440</v>
      </c>
      <c r="V75">
        <v>90960</v>
      </c>
    </row>
    <row r="76" spans="1:22" x14ac:dyDescent="0.25">
      <c r="A76" t="s">
        <v>366</v>
      </c>
      <c r="F76" s="1164">
        <v>103000</v>
      </c>
      <c r="G76">
        <v>36050</v>
      </c>
      <c r="H76">
        <v>41200</v>
      </c>
      <c r="I76">
        <v>46350</v>
      </c>
      <c r="J76">
        <v>51500</v>
      </c>
      <c r="K76">
        <v>55650</v>
      </c>
      <c r="L76">
        <v>59750</v>
      </c>
      <c r="M76">
        <v>63900</v>
      </c>
      <c r="N76">
        <v>68000</v>
      </c>
      <c r="O76">
        <v>43260</v>
      </c>
      <c r="P76">
        <v>49440</v>
      </c>
      <c r="Q76">
        <v>55620</v>
      </c>
      <c r="R76">
        <v>61800</v>
      </c>
      <c r="S76">
        <v>66780</v>
      </c>
      <c r="T76">
        <v>71700</v>
      </c>
      <c r="U76">
        <v>76680</v>
      </c>
      <c r="V76">
        <v>81600</v>
      </c>
    </row>
    <row r="77" spans="1:22" x14ac:dyDescent="0.25">
      <c r="A77" t="s">
        <v>365</v>
      </c>
      <c r="F77" s="1164">
        <v>84900</v>
      </c>
      <c r="G77">
        <v>33350</v>
      </c>
      <c r="H77">
        <v>38100</v>
      </c>
      <c r="I77">
        <v>42850</v>
      </c>
      <c r="J77">
        <v>47600</v>
      </c>
      <c r="K77">
        <v>51450</v>
      </c>
      <c r="L77">
        <v>55250</v>
      </c>
      <c r="M77">
        <v>59050</v>
      </c>
      <c r="N77">
        <v>62850</v>
      </c>
      <c r="O77">
        <v>40020</v>
      </c>
      <c r="P77">
        <v>45720</v>
      </c>
      <c r="Q77">
        <v>51420</v>
      </c>
      <c r="R77">
        <v>57120</v>
      </c>
      <c r="S77">
        <v>61740</v>
      </c>
      <c r="T77">
        <v>66300</v>
      </c>
      <c r="U77">
        <v>70860</v>
      </c>
      <c r="V77">
        <v>75420</v>
      </c>
    </row>
    <row r="78" spans="1:22" x14ac:dyDescent="0.25">
      <c r="A78" t="s">
        <v>364</v>
      </c>
      <c r="F78" s="1164">
        <v>82600</v>
      </c>
      <c r="G78">
        <v>33350</v>
      </c>
      <c r="H78">
        <v>38100</v>
      </c>
      <c r="I78">
        <v>42850</v>
      </c>
      <c r="J78">
        <v>47600</v>
      </c>
      <c r="K78">
        <v>51450</v>
      </c>
      <c r="L78">
        <v>55250</v>
      </c>
      <c r="M78">
        <v>59050</v>
      </c>
      <c r="N78">
        <v>62850</v>
      </c>
      <c r="O78">
        <v>40020</v>
      </c>
      <c r="P78">
        <v>45720</v>
      </c>
      <c r="Q78">
        <v>51420</v>
      </c>
      <c r="R78">
        <v>57120</v>
      </c>
      <c r="S78">
        <v>61740</v>
      </c>
      <c r="T78">
        <v>66300</v>
      </c>
      <c r="U78">
        <v>70860</v>
      </c>
      <c r="V78">
        <v>75420</v>
      </c>
    </row>
    <row r="79" spans="1:22" x14ac:dyDescent="0.25">
      <c r="A79" t="s">
        <v>363</v>
      </c>
      <c r="F79" s="1164">
        <v>99900</v>
      </c>
      <c r="G79">
        <v>35000</v>
      </c>
      <c r="H79">
        <v>40000</v>
      </c>
      <c r="I79">
        <v>45000</v>
      </c>
      <c r="J79">
        <v>49950</v>
      </c>
      <c r="K79">
        <v>53950</v>
      </c>
      <c r="L79">
        <v>57950</v>
      </c>
      <c r="M79">
        <v>61950</v>
      </c>
      <c r="N79">
        <v>65950</v>
      </c>
      <c r="O79">
        <v>42000</v>
      </c>
      <c r="P79">
        <v>48000</v>
      </c>
      <c r="Q79">
        <v>54000</v>
      </c>
      <c r="R79">
        <v>59940</v>
      </c>
      <c r="S79">
        <v>64740</v>
      </c>
      <c r="T79">
        <v>69540</v>
      </c>
      <c r="U79">
        <v>74340</v>
      </c>
      <c r="V79">
        <v>79140</v>
      </c>
    </row>
    <row r="80" spans="1:22" x14ac:dyDescent="0.25">
      <c r="A80" t="s">
        <v>362</v>
      </c>
      <c r="F80" s="1164">
        <v>104700</v>
      </c>
      <c r="G80">
        <v>36650</v>
      </c>
      <c r="H80">
        <v>41900</v>
      </c>
      <c r="I80">
        <v>47150</v>
      </c>
      <c r="J80">
        <v>52350</v>
      </c>
      <c r="K80">
        <v>56550</v>
      </c>
      <c r="L80">
        <v>60750</v>
      </c>
      <c r="M80">
        <v>64950</v>
      </c>
      <c r="N80">
        <v>69150</v>
      </c>
      <c r="O80">
        <v>43980</v>
      </c>
      <c r="P80">
        <v>50280</v>
      </c>
      <c r="Q80">
        <v>56580</v>
      </c>
      <c r="R80">
        <v>62820</v>
      </c>
      <c r="S80">
        <v>67860</v>
      </c>
      <c r="T80">
        <v>72900</v>
      </c>
      <c r="U80">
        <v>77940</v>
      </c>
      <c r="V80">
        <v>82980</v>
      </c>
    </row>
    <row r="81" spans="1:22" x14ac:dyDescent="0.25">
      <c r="A81" t="s">
        <v>361</v>
      </c>
      <c r="F81" s="1164">
        <v>85100</v>
      </c>
      <c r="G81">
        <v>33350</v>
      </c>
      <c r="H81">
        <v>38100</v>
      </c>
      <c r="I81">
        <v>42850</v>
      </c>
      <c r="J81">
        <v>47600</v>
      </c>
      <c r="K81">
        <v>51450</v>
      </c>
      <c r="L81">
        <v>55250</v>
      </c>
      <c r="M81">
        <v>59050</v>
      </c>
      <c r="N81">
        <v>62850</v>
      </c>
      <c r="O81">
        <v>40020</v>
      </c>
      <c r="P81">
        <v>45720</v>
      </c>
      <c r="Q81">
        <v>51420</v>
      </c>
      <c r="R81">
        <v>57120</v>
      </c>
      <c r="S81">
        <v>61740</v>
      </c>
      <c r="T81">
        <v>66300</v>
      </c>
      <c r="U81">
        <v>70860</v>
      </c>
      <c r="V81">
        <v>75420</v>
      </c>
    </row>
    <row r="82" spans="1:22" x14ac:dyDescent="0.25">
      <c r="A82" t="s">
        <v>360</v>
      </c>
      <c r="F82" s="1164">
        <v>96200</v>
      </c>
      <c r="G82">
        <v>33700</v>
      </c>
      <c r="H82">
        <v>38500</v>
      </c>
      <c r="I82">
        <v>43300</v>
      </c>
      <c r="J82">
        <v>48100</v>
      </c>
      <c r="K82">
        <v>51950</v>
      </c>
      <c r="L82">
        <v>55800</v>
      </c>
      <c r="M82">
        <v>59650</v>
      </c>
      <c r="N82">
        <v>63500</v>
      </c>
      <c r="O82">
        <v>40440</v>
      </c>
      <c r="P82">
        <v>46200</v>
      </c>
      <c r="Q82">
        <v>51960</v>
      </c>
      <c r="R82">
        <v>57720</v>
      </c>
      <c r="S82">
        <v>62340</v>
      </c>
      <c r="T82">
        <v>66960</v>
      </c>
      <c r="U82">
        <v>71580</v>
      </c>
      <c r="V82">
        <v>76200</v>
      </c>
    </row>
    <row r="83" spans="1:22" x14ac:dyDescent="0.25">
      <c r="A83" t="s">
        <v>359</v>
      </c>
      <c r="F83" s="1164">
        <v>132400</v>
      </c>
      <c r="G83">
        <v>46350</v>
      </c>
      <c r="H83">
        <v>53000</v>
      </c>
      <c r="I83">
        <v>59600</v>
      </c>
      <c r="J83">
        <v>66200</v>
      </c>
      <c r="K83">
        <v>71500</v>
      </c>
      <c r="L83">
        <v>76800</v>
      </c>
      <c r="M83">
        <v>82100</v>
      </c>
      <c r="N83">
        <v>87400</v>
      </c>
      <c r="O83">
        <v>55620</v>
      </c>
      <c r="P83">
        <v>63600</v>
      </c>
      <c r="Q83">
        <v>71520</v>
      </c>
      <c r="R83">
        <v>79440</v>
      </c>
      <c r="S83">
        <v>85800</v>
      </c>
      <c r="T83">
        <v>92160</v>
      </c>
      <c r="U83">
        <v>98520</v>
      </c>
      <c r="V83">
        <v>104880</v>
      </c>
    </row>
    <row r="84" spans="1:22" x14ac:dyDescent="0.25">
      <c r="A84" t="s">
        <v>358</v>
      </c>
      <c r="F84" s="1164">
        <v>92300</v>
      </c>
      <c r="G84">
        <v>33350</v>
      </c>
      <c r="H84">
        <v>38100</v>
      </c>
      <c r="I84">
        <v>42850</v>
      </c>
      <c r="J84">
        <v>47600</v>
      </c>
      <c r="K84">
        <v>51450</v>
      </c>
      <c r="L84">
        <v>55250</v>
      </c>
      <c r="M84">
        <v>59050</v>
      </c>
      <c r="N84">
        <v>62850</v>
      </c>
      <c r="O84">
        <v>40020</v>
      </c>
      <c r="P84">
        <v>45720</v>
      </c>
      <c r="Q84">
        <v>51420</v>
      </c>
      <c r="R84">
        <v>57120</v>
      </c>
      <c r="S84">
        <v>61740</v>
      </c>
      <c r="T84">
        <v>66300</v>
      </c>
      <c r="U84">
        <v>70860</v>
      </c>
      <c r="V84">
        <v>75420</v>
      </c>
    </row>
    <row r="85" spans="1:22" x14ac:dyDescent="0.25">
      <c r="A85" t="s">
        <v>357</v>
      </c>
      <c r="F85" s="1164">
        <v>100700</v>
      </c>
      <c r="G85">
        <v>35250</v>
      </c>
      <c r="H85">
        <v>40300</v>
      </c>
      <c r="I85">
        <v>45350</v>
      </c>
      <c r="J85">
        <v>50350</v>
      </c>
      <c r="K85">
        <v>54400</v>
      </c>
      <c r="L85">
        <v>58450</v>
      </c>
      <c r="M85">
        <v>62450</v>
      </c>
      <c r="N85">
        <v>66500</v>
      </c>
      <c r="O85">
        <v>42300</v>
      </c>
      <c r="P85">
        <v>48360</v>
      </c>
      <c r="Q85">
        <v>54420</v>
      </c>
      <c r="R85">
        <v>60420</v>
      </c>
      <c r="S85">
        <v>65280</v>
      </c>
      <c r="T85">
        <v>70140</v>
      </c>
      <c r="U85">
        <v>74940</v>
      </c>
      <c r="V85">
        <v>79800</v>
      </c>
    </row>
    <row r="86" spans="1:22" x14ac:dyDescent="0.25">
      <c r="A86" t="s">
        <v>356</v>
      </c>
      <c r="F86" s="1164">
        <v>105700</v>
      </c>
      <c r="G86">
        <v>37000</v>
      </c>
      <c r="H86">
        <v>42300</v>
      </c>
      <c r="I86">
        <v>47600</v>
      </c>
      <c r="J86">
        <v>52850</v>
      </c>
      <c r="K86">
        <v>57100</v>
      </c>
      <c r="L86">
        <v>61350</v>
      </c>
      <c r="M86">
        <v>65550</v>
      </c>
      <c r="N86">
        <v>69800</v>
      </c>
      <c r="O86">
        <v>44400</v>
      </c>
      <c r="P86">
        <v>50760</v>
      </c>
      <c r="Q86">
        <v>57120</v>
      </c>
      <c r="R86">
        <v>63420</v>
      </c>
      <c r="S86">
        <v>68520</v>
      </c>
      <c r="T86">
        <v>73620</v>
      </c>
      <c r="U86">
        <v>78660</v>
      </c>
      <c r="V86">
        <v>83760</v>
      </c>
    </row>
    <row r="87" spans="1:22" x14ac:dyDescent="0.25">
      <c r="A87" t="s">
        <v>355</v>
      </c>
      <c r="F87" s="1164">
        <v>132400</v>
      </c>
      <c r="G87">
        <v>46350</v>
      </c>
      <c r="H87">
        <v>53000</v>
      </c>
      <c r="I87">
        <v>59600</v>
      </c>
      <c r="J87">
        <v>66200</v>
      </c>
      <c r="K87">
        <v>71500</v>
      </c>
      <c r="L87">
        <v>76800</v>
      </c>
      <c r="M87">
        <v>82100</v>
      </c>
      <c r="N87">
        <v>87400</v>
      </c>
      <c r="O87">
        <v>55620</v>
      </c>
      <c r="P87">
        <v>63600</v>
      </c>
      <c r="Q87">
        <v>71520</v>
      </c>
      <c r="R87">
        <v>79440</v>
      </c>
      <c r="S87">
        <v>85800</v>
      </c>
      <c r="T87">
        <v>92160</v>
      </c>
      <c r="U87">
        <v>98520</v>
      </c>
      <c r="V87">
        <v>104880</v>
      </c>
    </row>
    <row r="88" spans="1:22" x14ac:dyDescent="0.25">
      <c r="A88" t="s">
        <v>354</v>
      </c>
      <c r="F88" s="1164">
        <v>95200</v>
      </c>
      <c r="G88">
        <v>33350</v>
      </c>
      <c r="H88">
        <v>38100</v>
      </c>
      <c r="I88">
        <v>42850</v>
      </c>
      <c r="J88">
        <v>47600</v>
      </c>
      <c r="K88">
        <v>51450</v>
      </c>
      <c r="L88">
        <v>55250</v>
      </c>
      <c r="M88">
        <v>59050</v>
      </c>
      <c r="N88">
        <v>62850</v>
      </c>
      <c r="O88">
        <v>40020</v>
      </c>
      <c r="P88">
        <v>45720</v>
      </c>
      <c r="Q88">
        <v>51420</v>
      </c>
      <c r="R88">
        <v>57120</v>
      </c>
      <c r="S88">
        <v>61740</v>
      </c>
      <c r="T88">
        <v>66300</v>
      </c>
      <c r="U88">
        <v>70860</v>
      </c>
      <c r="V88">
        <v>75420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Y174"/>
  <sheetViews>
    <sheetView showGridLines="0" tabSelected="1" zoomScaleNormal="100" zoomScaleSheetLayoutView="100" workbookViewId="0">
      <selection activeCell="R12" sqref="R12"/>
    </sheetView>
  </sheetViews>
  <sheetFormatPr defaultRowHeight="15" outlineLevelRow="1" x14ac:dyDescent="0.25"/>
  <cols>
    <col min="1" max="1" width="3.7109375" customWidth="1"/>
    <col min="2" max="2" width="9.7109375" customWidth="1"/>
    <col min="3" max="4" width="5" customWidth="1"/>
    <col min="5" max="5" width="12.85546875" customWidth="1"/>
    <col min="6" max="6" width="9.7109375" customWidth="1"/>
    <col min="7" max="7" width="12.5703125" customWidth="1"/>
    <col min="8" max="8" width="10.7109375" customWidth="1"/>
    <col min="9" max="10" width="9.7109375" customWidth="1"/>
    <col min="11" max="11" width="11.7109375" customWidth="1"/>
    <col min="12" max="12" width="13.42578125" customWidth="1"/>
    <col min="13" max="13" width="11.85546875" customWidth="1"/>
    <col min="14" max="14" width="3.85546875" customWidth="1"/>
    <col min="15" max="15" width="11.5703125" customWidth="1"/>
    <col min="16" max="16" width="11.42578125" customWidth="1"/>
    <col min="17" max="17" width="9.5703125" customWidth="1"/>
    <col min="18" max="18" width="10" customWidth="1"/>
    <col min="19" max="19" width="17.42578125" customWidth="1"/>
    <col min="21" max="21" width="3.85546875" customWidth="1"/>
    <col min="23" max="23" width="18.5703125" customWidth="1"/>
    <col min="24" max="24" width="11" bestFit="1" customWidth="1"/>
    <col min="28" max="28" width="11.140625" bestFit="1" customWidth="1"/>
    <col min="29" max="29" width="13.42578125" bestFit="1" customWidth="1"/>
    <col min="31" max="31" width="16.42578125" customWidth="1"/>
    <col min="32" max="32" width="14.28515625" customWidth="1"/>
  </cols>
  <sheetData>
    <row r="1" spans="2:24" ht="14.65" customHeight="1" x14ac:dyDescent="0.25">
      <c r="O1" s="1174" t="s">
        <v>818</v>
      </c>
      <c r="P1" s="1175"/>
      <c r="Q1" s="1175"/>
      <c r="R1" s="1175"/>
      <c r="S1" s="1176"/>
    </row>
    <row r="2" spans="2:24" ht="15" customHeight="1" x14ac:dyDescent="0.25">
      <c r="O2" s="1177"/>
      <c r="P2" s="1178"/>
      <c r="Q2" s="1178"/>
      <c r="R2" s="1178"/>
      <c r="S2" s="1179"/>
    </row>
    <row r="3" spans="2:24" ht="15" customHeight="1" thickBot="1" x14ac:dyDescent="0.3">
      <c r="O3" s="1180"/>
      <c r="P3" s="1181"/>
      <c r="Q3" s="1181"/>
      <c r="R3" s="1181"/>
      <c r="S3" s="1182"/>
    </row>
    <row r="4" spans="2:24" x14ac:dyDescent="0.25">
      <c r="O4" s="1184" t="s">
        <v>814</v>
      </c>
      <c r="P4" s="1184"/>
      <c r="Q4" s="1171"/>
      <c r="R4" s="1171"/>
      <c r="S4" s="1171"/>
    </row>
    <row r="5" spans="2:24" ht="19.149999999999999" customHeight="1" x14ac:dyDescent="0.3">
      <c r="B5" s="5" t="s">
        <v>701</v>
      </c>
      <c r="C5" s="5"/>
      <c r="D5" s="5"/>
      <c r="E5" s="5"/>
      <c r="F5" s="5"/>
      <c r="G5" s="5"/>
      <c r="H5" s="5"/>
      <c r="L5" s="181"/>
      <c r="O5" s="1090" t="s">
        <v>810</v>
      </c>
      <c r="P5" s="1093" t="s">
        <v>874</v>
      </c>
      <c r="Q5" s="1100"/>
      <c r="R5" s="1101" t="s">
        <v>875</v>
      </c>
      <c r="S5" s="1100"/>
    </row>
    <row r="6" spans="2:24" ht="16.5" customHeight="1" x14ac:dyDescent="0.25">
      <c r="B6" s="7"/>
      <c r="C6" s="7"/>
      <c r="D6" s="7"/>
      <c r="E6" s="7"/>
      <c r="F6" s="7"/>
      <c r="G6" s="7"/>
      <c r="I6" t="s">
        <v>865</v>
      </c>
      <c r="K6" s="1170"/>
      <c r="L6" s="1170"/>
      <c r="M6" s="1170"/>
      <c r="O6" s="1173" t="s">
        <v>811</v>
      </c>
      <c r="P6" s="1173"/>
      <c r="Q6" s="1172"/>
      <c r="R6" s="1172"/>
      <c r="S6" s="1172"/>
    </row>
    <row r="7" spans="2:24" ht="15.75" x14ac:dyDescent="0.25">
      <c r="B7" s="328" t="s">
        <v>40</v>
      </c>
      <c r="C7" s="328"/>
      <c r="D7" s="328"/>
      <c r="E7" s="1223"/>
      <c r="F7" s="1223"/>
      <c r="G7" s="1223"/>
      <c r="I7" t="s">
        <v>593</v>
      </c>
      <c r="K7" s="1223"/>
      <c r="L7" s="1223"/>
      <c r="M7" s="1223"/>
      <c r="O7" s="1173" t="s">
        <v>812</v>
      </c>
      <c r="P7" s="1173"/>
      <c r="Q7" s="1172"/>
      <c r="R7" s="1172"/>
      <c r="S7" s="1172"/>
    </row>
    <row r="8" spans="2:24" ht="15.75" x14ac:dyDescent="0.25">
      <c r="B8" s="328" t="s">
        <v>82</v>
      </c>
      <c r="C8" s="328"/>
      <c r="D8" s="328"/>
      <c r="E8" s="1224"/>
      <c r="F8" s="1224"/>
      <c r="G8" s="1224"/>
      <c r="I8" t="s">
        <v>594</v>
      </c>
      <c r="K8" s="1223"/>
      <c r="L8" s="1223"/>
      <c r="M8" s="1223"/>
      <c r="O8" s="1173" t="s">
        <v>813</v>
      </c>
      <c r="P8" s="1173"/>
      <c r="Q8" s="1172"/>
      <c r="R8" s="1172"/>
      <c r="S8" s="1172"/>
    </row>
    <row r="9" spans="2:24" ht="17.25" customHeight="1" x14ac:dyDescent="0.25">
      <c r="B9" s="328" t="s">
        <v>83</v>
      </c>
      <c r="C9" s="328"/>
      <c r="D9" s="328"/>
      <c r="E9" s="1224"/>
      <c r="F9" s="1224"/>
      <c r="G9" s="1224"/>
      <c r="I9" t="s">
        <v>595</v>
      </c>
      <c r="K9" s="1223"/>
      <c r="L9" s="1223"/>
      <c r="M9" s="1223"/>
      <c r="O9" s="1173" t="s">
        <v>819</v>
      </c>
      <c r="P9" s="1173"/>
      <c r="Q9" s="1105"/>
      <c r="R9" s="1099" t="s">
        <v>834</v>
      </c>
      <c r="S9" s="1100"/>
      <c r="U9" s="1082"/>
      <c r="V9" s="1083"/>
      <c r="W9" s="1077"/>
    </row>
    <row r="10" spans="2:24" ht="15.75" x14ac:dyDescent="0.25">
      <c r="B10" t="s">
        <v>204</v>
      </c>
      <c r="E10" s="1224"/>
      <c r="F10" s="1224"/>
      <c r="G10" s="1224"/>
      <c r="I10" t="s">
        <v>596</v>
      </c>
      <c r="K10" s="1223"/>
      <c r="L10" s="1223"/>
      <c r="M10" s="1223"/>
      <c r="O10" s="1183" t="s">
        <v>815</v>
      </c>
      <c r="P10" s="1183"/>
      <c r="Q10" s="1105"/>
      <c r="R10" s="1099" t="s">
        <v>986</v>
      </c>
      <c r="S10" s="1100"/>
      <c r="U10" s="1082"/>
      <c r="V10" s="1083"/>
      <c r="W10" s="1077"/>
    </row>
    <row r="11" spans="2:24" ht="15.75" x14ac:dyDescent="0.25">
      <c r="B11" t="s">
        <v>262</v>
      </c>
      <c r="E11" s="1224"/>
      <c r="F11" s="1224"/>
      <c r="G11" s="1224"/>
      <c r="I11" t="s">
        <v>597</v>
      </c>
      <c r="K11" s="1223"/>
      <c r="L11" s="1223"/>
      <c r="M11" s="1223"/>
      <c r="O11" s="1183" t="s">
        <v>816</v>
      </c>
      <c r="P11" s="1183"/>
      <c r="Q11" s="1105"/>
      <c r="R11" s="1099"/>
      <c r="S11" s="1106"/>
      <c r="U11" s="1082"/>
      <c r="V11" s="1083"/>
      <c r="W11" s="1077"/>
    </row>
    <row r="12" spans="2:24" ht="15.75" x14ac:dyDescent="0.25">
      <c r="B12" t="s">
        <v>333</v>
      </c>
      <c r="E12" s="1225"/>
      <c r="F12" s="1225"/>
      <c r="G12" s="1225"/>
      <c r="I12" s="624" t="s">
        <v>722</v>
      </c>
      <c r="K12" s="1154"/>
      <c r="L12" s="1226"/>
      <c r="M12" s="1227"/>
      <c r="O12" s="1173" t="s">
        <v>817</v>
      </c>
      <c r="P12" s="1173"/>
      <c r="Q12" s="1107"/>
      <c r="R12" s="1108"/>
      <c r="S12" s="1109"/>
      <c r="U12" s="1082"/>
      <c r="V12" s="1084"/>
      <c r="W12" s="87"/>
    </row>
    <row r="13" spans="2:24" ht="17.25" customHeight="1" thickBot="1" x14ac:dyDescent="0.3"/>
    <row r="14" spans="2:24" ht="15.75" thickBot="1" x14ac:dyDescent="0.3">
      <c r="B14" s="1233" t="s">
        <v>86</v>
      </c>
      <c r="C14" s="1234"/>
      <c r="D14" s="1234"/>
      <c r="E14" s="1234"/>
      <c r="F14" s="1234"/>
      <c r="G14" s="1234"/>
      <c r="H14" s="1234"/>
      <c r="I14" s="1234"/>
      <c r="J14" s="1234"/>
      <c r="K14" s="1234"/>
      <c r="L14" s="1234"/>
      <c r="M14" s="1235"/>
      <c r="O14" s="1233" t="s">
        <v>99</v>
      </c>
      <c r="P14" s="1234"/>
      <c r="Q14" s="1234"/>
      <c r="R14" s="1234"/>
      <c r="S14" s="1235"/>
    </row>
    <row r="15" spans="2:24" ht="15.75" thickBot="1" x14ac:dyDescent="0.3">
      <c r="B15" s="1296" t="s">
        <v>63</v>
      </c>
      <c r="C15" s="1297"/>
      <c r="D15" s="1297"/>
      <c r="E15" s="1297"/>
      <c r="F15" s="1297"/>
      <c r="G15" s="1297"/>
      <c r="H15" s="439" t="s">
        <v>85</v>
      </c>
      <c r="I15" s="1293" t="s">
        <v>38</v>
      </c>
      <c r="J15" s="1294"/>
      <c r="K15" s="1294"/>
      <c r="L15" s="1295"/>
      <c r="M15" s="439" t="s">
        <v>85</v>
      </c>
      <c r="O15" s="1284"/>
      <c r="P15" s="1284"/>
      <c r="Q15" s="1284"/>
      <c r="R15" s="1284"/>
      <c r="S15" s="1284"/>
      <c r="U15" s="2"/>
    </row>
    <row r="16" spans="2:24" ht="15" customHeight="1" x14ac:dyDescent="0.25">
      <c r="B16" s="1292" t="str">
        <f>IF('Sources &amp; Loan Sizing'!B12&lt;&gt;"",'Sources &amp; Loan Sizing'!B12,"")</f>
        <v/>
      </c>
      <c r="C16" s="1221"/>
      <c r="D16" s="1221"/>
      <c r="E16" s="1221"/>
      <c r="F16" s="1221"/>
      <c r="G16" s="368" t="str">
        <f>IF('Sources &amp; Loan Sizing'!F12&gt;0,'Sources &amp; Loan Sizing'!F12,"")</f>
        <v/>
      </c>
      <c r="H16" s="369">
        <f t="shared" ref="H16:H33" si="0">IFERROR(G16/$E$52,0)</f>
        <v>0</v>
      </c>
      <c r="I16" s="1288" t="s">
        <v>178</v>
      </c>
      <c r="J16" s="1289"/>
      <c r="K16" s="1290"/>
      <c r="L16" s="332">
        <f>'Dev Costs'!H8</f>
        <v>0</v>
      </c>
      <c r="M16" s="370">
        <f t="shared" ref="M16:M31" si="1">IFERROR(L16/$E$52,0)</f>
        <v>0</v>
      </c>
      <c r="O16" s="482"/>
      <c r="P16" s="483"/>
      <c r="Q16" s="483"/>
      <c r="R16" s="483"/>
      <c r="S16" s="484"/>
      <c r="V16" s="1187" t="s">
        <v>676</v>
      </c>
      <c r="W16" s="1188"/>
      <c r="X16" s="1189"/>
    </row>
    <row r="17" spans="2:25" x14ac:dyDescent="0.25">
      <c r="B17" s="1292" t="str">
        <f>IF('Sources &amp; Loan Sizing'!B13&lt;&gt;"",'Sources &amp; Loan Sizing'!B13,"")</f>
        <v/>
      </c>
      <c r="C17" s="1221"/>
      <c r="D17" s="1221"/>
      <c r="E17" s="1221"/>
      <c r="F17" s="1221"/>
      <c r="G17" s="368" t="str">
        <f>IF('Sources &amp; Loan Sizing'!F13&gt;0,'Sources &amp; Loan Sizing'!F13,"")</f>
        <v/>
      </c>
      <c r="H17" s="369">
        <f t="shared" si="0"/>
        <v>0</v>
      </c>
      <c r="I17" s="1288" t="s">
        <v>584</v>
      </c>
      <c r="J17" s="1289"/>
      <c r="K17" s="1290"/>
      <c r="L17" s="332">
        <f>'Dev Costs'!H15</f>
        <v>0</v>
      </c>
      <c r="M17" s="370">
        <f t="shared" si="1"/>
        <v>0</v>
      </c>
      <c r="O17" s="485"/>
      <c r="P17" s="486"/>
      <c r="Q17" s="486"/>
      <c r="R17" s="486"/>
      <c r="S17" s="487"/>
      <c r="V17" s="600" t="s">
        <v>677</v>
      </c>
      <c r="W17" s="601"/>
      <c r="X17" s="499">
        <f>$G$33</f>
        <v>0</v>
      </c>
    </row>
    <row r="18" spans="2:25" x14ac:dyDescent="0.25">
      <c r="B18" s="1292" t="str">
        <f>IF('Sources &amp; Loan Sizing'!B14&lt;&gt;"",'Sources &amp; Loan Sizing'!B14,"")</f>
        <v/>
      </c>
      <c r="C18" s="1221"/>
      <c r="D18" s="1221"/>
      <c r="E18" s="1221"/>
      <c r="F18" s="1221"/>
      <c r="G18" s="368" t="str">
        <f>IF('Sources &amp; Loan Sizing'!F14&gt;0,'Sources &amp; Loan Sizing'!F14,"")</f>
        <v/>
      </c>
      <c r="H18" s="369">
        <f t="shared" si="0"/>
        <v>0</v>
      </c>
      <c r="I18" s="1288" t="s">
        <v>87</v>
      </c>
      <c r="J18" s="1289"/>
      <c r="K18" s="1290"/>
      <c r="L18" s="332">
        <f>'Dev Costs'!H16</f>
        <v>0</v>
      </c>
      <c r="M18" s="370">
        <f t="shared" si="1"/>
        <v>0</v>
      </c>
      <c r="O18" s="485"/>
      <c r="P18" s="486"/>
      <c r="Q18" s="486"/>
      <c r="R18" s="486"/>
      <c r="S18" s="487"/>
      <c r="V18" s="602" t="s">
        <v>681</v>
      </c>
      <c r="W18" s="603"/>
      <c r="X18" s="499">
        <f>'Sources &amp; Loan Sizing'!$F$29</f>
        <v>0</v>
      </c>
    </row>
    <row r="19" spans="2:25" x14ac:dyDescent="0.25">
      <c r="B19" s="1298" t="str">
        <f>IF('Sources &amp; Loan Sizing'!B15&lt;&gt;"",'Sources &amp; Loan Sizing'!B15,"")</f>
        <v/>
      </c>
      <c r="C19" s="1221"/>
      <c r="D19" s="1221"/>
      <c r="E19" s="1221"/>
      <c r="F19" s="1221"/>
      <c r="G19" s="368" t="str">
        <f>IF('Sources &amp; Loan Sizing'!F15&gt;0,'Sources &amp; Loan Sizing'!F15,"")</f>
        <v/>
      </c>
      <c r="H19" s="369">
        <f t="shared" si="0"/>
        <v>0</v>
      </c>
      <c r="I19" s="1288" t="s">
        <v>180</v>
      </c>
      <c r="J19" s="1289"/>
      <c r="K19" s="1290"/>
      <c r="L19" s="332">
        <f>'Dev Costs'!H19</f>
        <v>0</v>
      </c>
      <c r="M19" s="370">
        <f t="shared" si="1"/>
        <v>0</v>
      </c>
      <c r="O19" s="485"/>
      <c r="P19" s="486"/>
      <c r="Q19" s="489"/>
      <c r="R19" s="486"/>
      <c r="S19" s="487"/>
      <c r="V19" s="602" t="s">
        <v>678</v>
      </c>
      <c r="W19" s="603"/>
      <c r="X19" s="462" t="str">
        <f>IF(X18=X17,"OK","Error")</f>
        <v>OK</v>
      </c>
    </row>
    <row r="20" spans="2:25" x14ac:dyDescent="0.25">
      <c r="B20" s="1291" t="str">
        <f>IF('Sources &amp; Loan Sizing'!B16&lt;&gt;"",'Sources &amp; Loan Sizing'!B16,"")</f>
        <v/>
      </c>
      <c r="C20" s="1221"/>
      <c r="D20" s="1221"/>
      <c r="E20" s="1221"/>
      <c r="F20" s="1221"/>
      <c r="G20" s="368" t="str">
        <f>IF('Sources &amp; Loan Sizing'!F16&gt;0,'Sources &amp; Loan Sizing'!F16,"")</f>
        <v/>
      </c>
      <c r="H20" s="369">
        <f t="shared" si="0"/>
        <v>0</v>
      </c>
      <c r="I20" s="1288" t="s">
        <v>585</v>
      </c>
      <c r="J20" s="1289"/>
      <c r="K20" s="1290"/>
      <c r="L20" s="332">
        <f>'Dev Costs'!H37</f>
        <v>0</v>
      </c>
      <c r="M20" s="370">
        <f t="shared" si="1"/>
        <v>0</v>
      </c>
      <c r="O20" s="488"/>
      <c r="P20" s="486"/>
      <c r="Q20" s="489"/>
      <c r="R20" s="486"/>
      <c r="S20" s="487"/>
      <c r="V20" s="600"/>
      <c r="W20" s="601"/>
      <c r="X20" s="500"/>
      <c r="Y20" s="302"/>
    </row>
    <row r="21" spans="2:25" x14ac:dyDescent="0.25">
      <c r="B21" s="1291" t="str">
        <f>IF('Sources &amp; Loan Sizing'!B17&lt;&gt;"",'Sources &amp; Loan Sizing'!B17,"")</f>
        <v/>
      </c>
      <c r="C21" s="1221"/>
      <c r="D21" s="1221"/>
      <c r="E21" s="1221"/>
      <c r="F21" s="1221"/>
      <c r="G21" s="368" t="str">
        <f>IF('Sources &amp; Loan Sizing'!F17&gt;0,'Sources &amp; Loan Sizing'!F17,"")</f>
        <v/>
      </c>
      <c r="H21" s="369">
        <f t="shared" si="0"/>
        <v>0</v>
      </c>
      <c r="I21" s="1288" t="s">
        <v>108</v>
      </c>
      <c r="J21" s="1289"/>
      <c r="K21" s="1290"/>
      <c r="L21" s="332">
        <f>'Dev Costs'!H43</f>
        <v>0</v>
      </c>
      <c r="M21" s="370">
        <f t="shared" si="1"/>
        <v>0</v>
      </c>
      <c r="O21" s="488"/>
      <c r="P21" s="486"/>
      <c r="Q21" s="498"/>
      <c r="R21" s="486"/>
      <c r="S21" s="487"/>
      <c r="V21" s="600" t="s">
        <v>679</v>
      </c>
      <c r="W21" s="601"/>
      <c r="X21" s="499">
        <f>$L$33</f>
        <v>0</v>
      </c>
      <c r="Y21" s="302"/>
    </row>
    <row r="22" spans="2:25" x14ac:dyDescent="0.25">
      <c r="B22" s="1298" t="str">
        <f>IF('Sources &amp; Loan Sizing'!B18&lt;&gt;"",'Sources &amp; Loan Sizing'!B18,"")</f>
        <v/>
      </c>
      <c r="C22" s="1221"/>
      <c r="D22" s="1221"/>
      <c r="E22" s="1221"/>
      <c r="F22" s="1221"/>
      <c r="G22" s="368" t="str">
        <f>IF('Sources &amp; Loan Sizing'!F18&gt;0,'Sources &amp; Loan Sizing'!F18,"")</f>
        <v/>
      </c>
      <c r="H22" s="369">
        <f t="shared" si="0"/>
        <v>0</v>
      </c>
      <c r="I22" s="1288" t="s">
        <v>550</v>
      </c>
      <c r="J22" s="1197"/>
      <c r="K22" s="1198"/>
      <c r="L22" s="332">
        <f>'Dev Costs'!H45</f>
        <v>0</v>
      </c>
      <c r="M22" s="370">
        <f t="shared" si="1"/>
        <v>0</v>
      </c>
      <c r="O22" s="485"/>
      <c r="P22" s="486"/>
      <c r="Q22" s="489"/>
      <c r="R22" s="489"/>
      <c r="S22" s="487"/>
      <c r="V22" s="600" t="s">
        <v>680</v>
      </c>
      <c r="W22" s="601"/>
      <c r="X22" s="501">
        <f>'Dev Costs'!$H$76</f>
        <v>0</v>
      </c>
      <c r="Y22" s="302"/>
    </row>
    <row r="23" spans="2:25" x14ac:dyDescent="0.25">
      <c r="B23" s="1315" t="str">
        <f>IF('Sources &amp; Loan Sizing'!B19&lt;&gt;"",'Sources &amp; Loan Sizing'!B19,"")</f>
        <v/>
      </c>
      <c r="C23" s="1316"/>
      <c r="D23" s="1316"/>
      <c r="E23" s="1316"/>
      <c r="F23" s="1317"/>
      <c r="G23" s="368" t="str">
        <f>IF('Sources &amp; Loan Sizing'!F19&gt;0,'Sources &amp; Loan Sizing'!F19,"")</f>
        <v/>
      </c>
      <c r="H23" s="369">
        <f t="shared" si="0"/>
        <v>0</v>
      </c>
      <c r="I23" s="1288" t="s">
        <v>551</v>
      </c>
      <c r="J23" s="1289"/>
      <c r="K23" s="1290"/>
      <c r="L23" s="332">
        <f>'Dev Costs'!H46</f>
        <v>0</v>
      </c>
      <c r="M23" s="370">
        <f t="shared" si="1"/>
        <v>0</v>
      </c>
      <c r="O23" s="485"/>
      <c r="P23" s="486"/>
      <c r="Q23" s="489"/>
      <c r="R23" s="489"/>
      <c r="S23" s="487"/>
      <c r="V23" s="602" t="s">
        <v>682</v>
      </c>
      <c r="W23" s="603"/>
      <c r="X23" s="462" t="str">
        <f>IF(X22=X21,"OK","Error")</f>
        <v>OK</v>
      </c>
      <c r="Y23" s="302"/>
    </row>
    <row r="24" spans="2:25" x14ac:dyDescent="0.25">
      <c r="B24" s="1220" t="str">
        <f>IF('Sources &amp; Loan Sizing'!B20&lt;&gt;"",'Sources &amp; Loan Sizing'!B20,"")</f>
        <v/>
      </c>
      <c r="C24" s="1221"/>
      <c r="D24" s="1221"/>
      <c r="E24" s="1221"/>
      <c r="F24" s="1221"/>
      <c r="G24" s="368" t="str">
        <f>IF('Sources &amp; Loan Sizing'!F20&gt;0,'Sources &amp; Loan Sizing'!F20,"")</f>
        <v/>
      </c>
      <c r="H24" s="369">
        <f t="shared" si="0"/>
        <v>0</v>
      </c>
      <c r="I24" s="1288" t="s">
        <v>586</v>
      </c>
      <c r="J24" s="1289"/>
      <c r="K24" s="1290"/>
      <c r="L24" s="332">
        <f>'Dev Costs'!H51-Summary!L23-Summary!L22</f>
        <v>0</v>
      </c>
      <c r="M24" s="370">
        <f t="shared" si="1"/>
        <v>0</v>
      </c>
      <c r="O24" s="485"/>
      <c r="P24" s="486"/>
      <c r="Q24" s="489"/>
      <c r="R24" s="489"/>
      <c r="S24" s="487"/>
      <c r="V24" s="600"/>
      <c r="W24" s="601"/>
      <c r="X24" s="303"/>
      <c r="Y24" s="604"/>
    </row>
    <row r="25" spans="2:25" x14ac:dyDescent="0.25">
      <c r="B25" s="1285" t="str">
        <f>IF('Sources &amp; Loan Sizing'!B21&lt;&gt;"",'Sources &amp; Loan Sizing'!B21,"")</f>
        <v/>
      </c>
      <c r="C25" s="1286"/>
      <c r="D25" s="1286"/>
      <c r="E25" s="1286"/>
      <c r="F25" s="1286"/>
      <c r="G25" s="368" t="str">
        <f>IF('Sources &amp; Loan Sizing'!F21&gt;0,'Sources &amp; Loan Sizing'!F21,"")</f>
        <v/>
      </c>
      <c r="H25" s="371">
        <f t="shared" si="0"/>
        <v>0</v>
      </c>
      <c r="I25" s="1288" t="s">
        <v>589</v>
      </c>
      <c r="J25" s="1289"/>
      <c r="K25" s="1290"/>
      <c r="L25" s="332">
        <f>'Dev Costs'!H56</f>
        <v>0</v>
      </c>
      <c r="M25" s="370">
        <f t="shared" si="1"/>
        <v>0</v>
      </c>
      <c r="O25" s="488"/>
      <c r="P25" s="486"/>
      <c r="Q25" s="498"/>
      <c r="R25" s="486"/>
      <c r="S25" s="487"/>
      <c r="V25" s="600" t="s">
        <v>683</v>
      </c>
      <c r="W25" s="601"/>
      <c r="X25" s="502">
        <f>$M$52</f>
        <v>0</v>
      </c>
      <c r="Y25" s="604"/>
    </row>
    <row r="26" spans="2:25" ht="15" customHeight="1" x14ac:dyDescent="0.25">
      <c r="B26" s="1285" t="str">
        <f>IF('Sources &amp; Loan Sizing'!B22&lt;&gt;"",'Sources &amp; Loan Sizing'!B22,"")</f>
        <v/>
      </c>
      <c r="C26" s="1286"/>
      <c r="D26" s="1286"/>
      <c r="E26" s="1286"/>
      <c r="F26" s="1287"/>
      <c r="G26" s="368" t="str">
        <f>IF('Sources &amp; Loan Sizing'!F22&gt;0,'Sources &amp; Loan Sizing'!F22,"")</f>
        <v/>
      </c>
      <c r="H26" s="369">
        <f t="shared" si="0"/>
        <v>0</v>
      </c>
      <c r="I26" s="1288" t="s">
        <v>565</v>
      </c>
      <c r="J26" s="1289"/>
      <c r="K26" s="1290"/>
      <c r="L26" s="332">
        <f>'Dev Costs'!H63-Summary!L25</f>
        <v>0</v>
      </c>
      <c r="M26" s="370">
        <f t="shared" si="1"/>
        <v>0</v>
      </c>
      <c r="O26" s="485"/>
      <c r="P26" s="486"/>
      <c r="Q26" s="486"/>
      <c r="R26" s="486"/>
      <c r="S26" s="487"/>
      <c r="V26" s="600" t="s">
        <v>684</v>
      </c>
      <c r="W26" s="601"/>
      <c r="X26" s="502">
        <f>'Housing Income'!$M$34</f>
        <v>0</v>
      </c>
      <c r="Y26" s="604"/>
    </row>
    <row r="27" spans="2:25" x14ac:dyDescent="0.25">
      <c r="B27" s="1285" t="str">
        <f>IF('Sources &amp; Loan Sizing'!B23&lt;&gt;"",'Sources &amp; Loan Sizing'!B23,"")</f>
        <v/>
      </c>
      <c r="C27" s="1286"/>
      <c r="D27" s="1286"/>
      <c r="E27" s="1286"/>
      <c r="F27" s="1287"/>
      <c r="G27" s="368" t="str">
        <f>IF('Sources &amp; Loan Sizing'!F23&gt;0,'Sources &amp; Loan Sizing'!F23,"")</f>
        <v/>
      </c>
      <c r="H27" s="369">
        <f t="shared" si="0"/>
        <v>0</v>
      </c>
      <c r="I27" s="1288" t="s">
        <v>587</v>
      </c>
      <c r="J27" s="1289"/>
      <c r="K27" s="1290"/>
      <c r="L27" s="332">
        <f>'Dev Costs'!H67</f>
        <v>0</v>
      </c>
      <c r="M27" s="370">
        <f t="shared" si="1"/>
        <v>0</v>
      </c>
      <c r="O27" s="485"/>
      <c r="P27" s="486"/>
      <c r="Q27" s="486"/>
      <c r="R27" s="486"/>
      <c r="S27" s="487"/>
      <c r="V27" s="602" t="s">
        <v>685</v>
      </c>
      <c r="W27" s="603"/>
      <c r="X27" s="462" t="str">
        <f>IF(X26=X25,"OK","Error")</f>
        <v>OK</v>
      </c>
      <c r="Y27" s="302"/>
    </row>
    <row r="28" spans="2:25" x14ac:dyDescent="0.25">
      <c r="B28" s="1285" t="str">
        <f>IF('Sources &amp; Loan Sizing'!B24&lt;&gt;"",'Sources &amp; Loan Sizing'!B24,"")</f>
        <v/>
      </c>
      <c r="C28" s="1286"/>
      <c r="D28" s="1286"/>
      <c r="E28" s="1286"/>
      <c r="F28" s="1287"/>
      <c r="G28" s="368" t="str">
        <f>IF('Sources &amp; Loan Sizing'!F24&gt;0,'Sources &amp; Loan Sizing'!F24,"")</f>
        <v/>
      </c>
      <c r="H28" s="369">
        <f t="shared" si="0"/>
        <v>0</v>
      </c>
      <c r="I28" s="304" t="s">
        <v>448</v>
      </c>
      <c r="J28" s="426"/>
      <c r="K28" s="427"/>
      <c r="L28" s="332">
        <f>'Dev Costs'!H69</f>
        <v>0</v>
      </c>
      <c r="M28" s="370">
        <f t="shared" si="1"/>
        <v>0</v>
      </c>
      <c r="O28" s="485"/>
      <c r="P28" s="486"/>
      <c r="Q28" s="486"/>
      <c r="R28" s="486"/>
      <c r="S28" s="487"/>
      <c r="V28" s="600"/>
      <c r="W28" s="601"/>
      <c r="X28" s="3"/>
      <c r="Y28" s="302"/>
    </row>
    <row r="29" spans="2:25" ht="15" customHeight="1" x14ac:dyDescent="0.25">
      <c r="B29" s="1220" t="str">
        <f>IF('Sources &amp; Loan Sizing'!B25&lt;&gt;"",'Sources &amp; Loan Sizing'!B25,"")</f>
        <v/>
      </c>
      <c r="C29" s="1221"/>
      <c r="D29" s="1221"/>
      <c r="E29" s="1221"/>
      <c r="F29" s="1221"/>
      <c r="G29" s="368" t="str">
        <f>IF('Sources &amp; Loan Sizing'!F25&gt;0,'Sources &amp; Loan Sizing'!F25,"")</f>
        <v/>
      </c>
      <c r="H29" s="369">
        <f t="shared" si="0"/>
        <v>0</v>
      </c>
      <c r="I29" s="304" t="s">
        <v>449</v>
      </c>
      <c r="J29" s="426"/>
      <c r="K29" s="427"/>
      <c r="L29" s="332">
        <f>'Dev Costs'!H70</f>
        <v>0</v>
      </c>
      <c r="M29" s="370">
        <f t="shared" si="1"/>
        <v>0</v>
      </c>
      <c r="O29" s="488"/>
      <c r="P29" s="486"/>
      <c r="Q29" s="498"/>
      <c r="R29" s="486"/>
      <c r="S29" s="487"/>
      <c r="V29" s="600" t="s">
        <v>686</v>
      </c>
      <c r="W29" s="601"/>
      <c r="X29" s="502">
        <f>$H$78</f>
        <v>0</v>
      </c>
      <c r="Y29" s="302"/>
    </row>
    <row r="30" spans="2:25" x14ac:dyDescent="0.25">
      <c r="B30" s="1222" t="str">
        <f>IF('Sources &amp; Loan Sizing'!B26&lt;&gt;"",'Sources &amp; Loan Sizing'!B26,"")</f>
        <v/>
      </c>
      <c r="C30" s="1221"/>
      <c r="D30" s="1221"/>
      <c r="E30" s="1221"/>
      <c r="F30" s="1221"/>
      <c r="G30" s="368" t="str">
        <f>IF('Sources &amp; Loan Sizing'!F26&gt;0,'Sources &amp; Loan Sizing'!F26,"")</f>
        <v/>
      </c>
      <c r="H30" s="369">
        <f t="shared" si="0"/>
        <v>0</v>
      </c>
      <c r="I30" s="304" t="s">
        <v>445</v>
      </c>
      <c r="J30" s="426"/>
      <c r="K30" s="427"/>
      <c r="L30" s="332">
        <f>'Dev Costs'!H71</f>
        <v>0</v>
      </c>
      <c r="M30" s="370">
        <f t="shared" si="1"/>
        <v>0</v>
      </c>
      <c r="O30" s="485"/>
      <c r="P30" s="486"/>
      <c r="Q30" s="486"/>
      <c r="R30" s="486"/>
      <c r="S30" s="487"/>
      <c r="V30" s="600" t="s">
        <v>687</v>
      </c>
      <c r="W30" s="601"/>
      <c r="X30" s="502">
        <f>'Inc &amp; Exp'!$G$27</f>
        <v>0</v>
      </c>
      <c r="Y30" s="302"/>
    </row>
    <row r="31" spans="2:25" x14ac:dyDescent="0.25">
      <c r="B31" s="1222" t="str">
        <f>IF('Sources &amp; Loan Sizing'!B27&lt;&gt;"",'Sources &amp; Loan Sizing'!B27,"")</f>
        <v>Owner Equity</v>
      </c>
      <c r="C31" s="1221"/>
      <c r="D31" s="1221"/>
      <c r="E31" s="1221"/>
      <c r="F31" s="1221"/>
      <c r="G31" s="368" t="str">
        <f>IF('Sources &amp; Loan Sizing'!F27&gt;0,'Sources &amp; Loan Sizing'!F27,"")</f>
        <v/>
      </c>
      <c r="H31" s="369">
        <f t="shared" si="0"/>
        <v>0</v>
      </c>
      <c r="I31" s="304" t="s">
        <v>588</v>
      </c>
      <c r="J31" s="426"/>
      <c r="K31" s="427"/>
      <c r="L31" s="332">
        <f>'Dev Costs'!H74-Summary!L30-Summary!L29-Summary!L28</f>
        <v>0</v>
      </c>
      <c r="M31" s="370">
        <f t="shared" si="1"/>
        <v>0</v>
      </c>
      <c r="O31" s="485"/>
      <c r="P31" s="486"/>
      <c r="Q31" s="486"/>
      <c r="R31" s="489"/>
      <c r="S31" s="490"/>
      <c r="V31" s="602" t="s">
        <v>688</v>
      </c>
      <c r="W31" s="603"/>
      <c r="X31" s="462" t="str">
        <f>IF(X30=X29,"OK","Error")</f>
        <v>OK</v>
      </c>
      <c r="Y31" s="302"/>
    </row>
    <row r="32" spans="2:25" x14ac:dyDescent="0.25">
      <c r="B32" s="1222" t="str">
        <f>IF('Sources &amp; Loan Sizing'!B28&lt;&gt;"",'Sources &amp; Loan Sizing'!B28,"")</f>
        <v>Cash Required / (Cash Out)</v>
      </c>
      <c r="C32" s="1221"/>
      <c r="D32" s="1221"/>
      <c r="E32" s="1221"/>
      <c r="F32" s="1221"/>
      <c r="G32" s="372">
        <f>L33-SUM(G16:G31)</f>
        <v>0</v>
      </c>
      <c r="H32" s="370">
        <f t="shared" si="0"/>
        <v>0</v>
      </c>
      <c r="I32" s="1205"/>
      <c r="J32" s="1206"/>
      <c r="K32" s="1207"/>
      <c r="L32" s="332"/>
      <c r="M32" s="370"/>
      <c r="O32" s="485"/>
      <c r="P32" s="486"/>
      <c r="Q32" s="486"/>
      <c r="R32" s="489"/>
      <c r="S32" s="490"/>
      <c r="V32" s="1185"/>
      <c r="W32" s="1186"/>
      <c r="X32" s="303"/>
      <c r="Y32" s="302"/>
    </row>
    <row r="33" spans="2:25" ht="15.75" customHeight="1" thickBot="1" x14ac:dyDescent="0.3">
      <c r="B33" s="1228" t="s">
        <v>88</v>
      </c>
      <c r="C33" s="1229"/>
      <c r="D33" s="1229"/>
      <c r="E33" s="1229"/>
      <c r="F33" s="1229"/>
      <c r="G33" s="373">
        <f>SUM(G16:G32)</f>
        <v>0</v>
      </c>
      <c r="H33" s="374">
        <f t="shared" si="0"/>
        <v>0</v>
      </c>
      <c r="I33" s="1237" t="s">
        <v>39</v>
      </c>
      <c r="J33" s="1238"/>
      <c r="K33" s="1239"/>
      <c r="L33" s="375">
        <f>SUM(L16:L32)</f>
        <v>0</v>
      </c>
      <c r="M33" s="374">
        <f>IFERROR(L33/$E$52,0)</f>
        <v>0</v>
      </c>
      <c r="O33" s="488"/>
      <c r="P33" s="486"/>
      <c r="Q33" s="498"/>
      <c r="R33" s="489"/>
      <c r="S33" s="490"/>
      <c r="V33" s="1185" t="s">
        <v>689</v>
      </c>
      <c r="W33" s="1186"/>
      <c r="X33" s="502">
        <f>$H$94</f>
        <v>0</v>
      </c>
      <c r="Y33" s="604"/>
    </row>
    <row r="34" spans="2:25" ht="16.5" customHeight="1" thickBot="1" x14ac:dyDescent="0.3">
      <c r="B34" s="376"/>
      <c r="C34" s="376"/>
      <c r="D34" s="376"/>
      <c r="E34" s="376"/>
      <c r="F34" s="376"/>
      <c r="G34" s="376"/>
      <c r="H34" s="376"/>
      <c r="I34" s="376"/>
      <c r="J34" s="376"/>
      <c r="K34" s="376"/>
      <c r="L34" s="377"/>
      <c r="O34" s="488"/>
      <c r="P34" s="486"/>
      <c r="Q34" s="486"/>
      <c r="R34" s="489"/>
      <c r="S34" s="490"/>
      <c r="V34" s="1185" t="s">
        <v>690</v>
      </c>
      <c r="W34" s="1186"/>
      <c r="X34" s="502">
        <f>'Inc &amp; Exp'!$G$43</f>
        <v>0</v>
      </c>
      <c r="Y34" s="604"/>
    </row>
    <row r="35" spans="2:25" ht="15.75" customHeight="1" thickBot="1" x14ac:dyDescent="0.3">
      <c r="B35" s="1233" t="str">
        <f>UPPER(E7)&amp; " UNIT MIX AND RENT LEVELS"</f>
        <v xml:space="preserve"> UNIT MIX AND RENT LEVELS</v>
      </c>
      <c r="C35" s="1234"/>
      <c r="D35" s="1234"/>
      <c r="E35" s="1234"/>
      <c r="F35" s="1234"/>
      <c r="G35" s="1234"/>
      <c r="H35" s="1234"/>
      <c r="I35" s="1234"/>
      <c r="J35" s="1234"/>
      <c r="K35" s="1234"/>
      <c r="L35" s="1234"/>
      <c r="M35" s="1235"/>
      <c r="O35" s="488"/>
      <c r="P35" s="486"/>
      <c r="Q35" s="486"/>
      <c r="R35" s="489"/>
      <c r="S35" s="490"/>
      <c r="V35" s="1185" t="s">
        <v>691</v>
      </c>
      <c r="W35" s="1186"/>
      <c r="X35" s="462" t="str">
        <f>IF(X34=X33,"OK","Error")</f>
        <v>OK</v>
      </c>
      <c r="Y35" s="604"/>
    </row>
    <row r="36" spans="2:25" ht="39.75" customHeight="1" x14ac:dyDescent="0.25">
      <c r="B36" s="305" t="s">
        <v>0</v>
      </c>
      <c r="C36" s="1325" t="s">
        <v>1</v>
      </c>
      <c r="D36" s="1326"/>
      <c r="E36" s="14" t="s">
        <v>41</v>
      </c>
      <c r="F36" s="14" t="s">
        <v>4</v>
      </c>
      <c r="G36" s="14" t="s">
        <v>97</v>
      </c>
      <c r="H36" s="14" t="s">
        <v>310</v>
      </c>
      <c r="I36" s="14" t="s">
        <v>3</v>
      </c>
      <c r="J36" s="14" t="s">
        <v>2</v>
      </c>
      <c r="K36" s="14" t="s">
        <v>35</v>
      </c>
      <c r="L36" s="14" t="s">
        <v>43</v>
      </c>
      <c r="M36" s="15" t="s">
        <v>96</v>
      </c>
      <c r="O36" s="488"/>
      <c r="P36" s="486"/>
      <c r="Q36" s="486"/>
      <c r="R36" s="489"/>
      <c r="S36" s="490"/>
      <c r="Y36" s="604"/>
    </row>
    <row r="37" spans="2:25" x14ac:dyDescent="0.25">
      <c r="B37" s="333" t="str">
        <f>IF('Housing Income'!B19&lt;&gt;"",'Housing Income'!B19,"")</f>
        <v/>
      </c>
      <c r="C37" s="1327" t="str">
        <f>IF('Housing Income'!C19&lt;&gt;"",'Housing Income'!C19,"")</f>
        <v/>
      </c>
      <c r="D37" s="1328"/>
      <c r="E37" s="334" t="str">
        <f>IF('Housing Income'!D19&lt;&gt;"",'Housing Income'!D19,"")</f>
        <v/>
      </c>
      <c r="F37" s="334" t="str">
        <f>IF('Housing Income'!E19&lt;&gt;"",'Housing Income'!E19,"")</f>
        <v/>
      </c>
      <c r="G37" s="605" t="str">
        <f>IF('Housing Income'!F19&lt;&gt;"",'Housing Income'!F19,"")</f>
        <v/>
      </c>
      <c r="H37" s="605" t="str">
        <f>IF('Housing Income'!G19&lt;&gt;"",'Housing Income'!G19,"")</f>
        <v/>
      </c>
      <c r="I37" s="334" t="str">
        <f>IF('Housing Income'!H19&lt;&gt;"",'Housing Income'!H19,"")</f>
        <v/>
      </c>
      <c r="J37" s="334" t="str">
        <f>IF('Housing Income'!I19&lt;&gt;"",'Housing Income'!I19,"")</f>
        <v/>
      </c>
      <c r="K37" s="335">
        <f>IFERROR(I37+J37,0)</f>
        <v>0</v>
      </c>
      <c r="L37" s="437" t="str">
        <f>IF('Housing Income'!K19&lt;&gt;"",'Housing Income'!K19,"")</f>
        <v/>
      </c>
      <c r="M37" s="440">
        <f>IFERROR(E37*I37*12,0)</f>
        <v>0</v>
      </c>
      <c r="O37" s="488"/>
      <c r="P37" s="486"/>
      <c r="Q37" s="498"/>
      <c r="R37" s="489"/>
      <c r="S37" s="490"/>
      <c r="V37" s="1132"/>
      <c r="W37" s="1132"/>
      <c r="X37" s="1132"/>
      <c r="Y37" s="1133"/>
    </row>
    <row r="38" spans="2:25" ht="15" customHeight="1" x14ac:dyDescent="0.25">
      <c r="B38" s="333" t="str">
        <f>IF('Housing Income'!B20&lt;&gt;"",'Housing Income'!B20,"")</f>
        <v/>
      </c>
      <c r="C38" s="1327" t="str">
        <f>IF('Housing Income'!C20&lt;&gt;"",'Housing Income'!C20,"")</f>
        <v/>
      </c>
      <c r="D38" s="1328"/>
      <c r="E38" s="334" t="str">
        <f>IF('Housing Income'!D20&lt;&gt;"",'Housing Income'!D20,"")</f>
        <v/>
      </c>
      <c r="F38" s="334" t="str">
        <f>IF('Housing Income'!E20&lt;&gt;"",'Housing Income'!E20,"")</f>
        <v/>
      </c>
      <c r="G38" s="605" t="str">
        <f>IF('Housing Income'!F20&lt;&gt;"",'Housing Income'!F20,"")</f>
        <v/>
      </c>
      <c r="H38" s="605" t="str">
        <f>IF('Housing Income'!G20&lt;&gt;"",'Housing Income'!G20,"")</f>
        <v/>
      </c>
      <c r="I38" s="334" t="str">
        <f>IF('Housing Income'!H20&lt;&gt;"",'Housing Income'!H20,"")</f>
        <v/>
      </c>
      <c r="J38" s="334" t="str">
        <f>IF('Housing Income'!I20&lt;&gt;"",'Housing Income'!I20,"")</f>
        <v/>
      </c>
      <c r="K38" s="335">
        <f t="shared" ref="K38:K51" si="2">IFERROR(I38+J38,0)</f>
        <v>0</v>
      </c>
      <c r="L38" s="437" t="str">
        <f>IF('Housing Income'!K20&lt;&gt;"",'Housing Income'!K20,"")</f>
        <v/>
      </c>
      <c r="M38" s="440">
        <f t="shared" ref="M38:M51" si="3">IFERROR(E38*I38*12,0)</f>
        <v>0</v>
      </c>
      <c r="O38" s="488"/>
      <c r="P38" s="486"/>
      <c r="Q38" s="486"/>
      <c r="R38" s="486"/>
      <c r="S38" s="487"/>
      <c r="V38" s="1132"/>
      <c r="W38" s="1134"/>
      <c r="X38" s="1132"/>
      <c r="Y38" s="1133"/>
    </row>
    <row r="39" spans="2:25" x14ac:dyDescent="0.25">
      <c r="B39" s="333" t="str">
        <f>IF('Housing Income'!B21&lt;&gt;"",'Housing Income'!B21,"")</f>
        <v/>
      </c>
      <c r="C39" s="1327" t="str">
        <f>IF('Housing Income'!C21&lt;&gt;"",'Housing Income'!C21,"")</f>
        <v/>
      </c>
      <c r="D39" s="1328"/>
      <c r="E39" s="334" t="str">
        <f>IF('Housing Income'!D21&lt;&gt;"",'Housing Income'!D21,"")</f>
        <v/>
      </c>
      <c r="F39" s="334" t="str">
        <f>IF('Housing Income'!E21&lt;&gt;"",'Housing Income'!E21,"")</f>
        <v/>
      </c>
      <c r="G39" s="605" t="str">
        <f>IF('Housing Income'!F21&lt;&gt;"",'Housing Income'!F21,"")</f>
        <v/>
      </c>
      <c r="H39" s="605" t="str">
        <f>IF('Housing Income'!G21&lt;&gt;"",'Housing Income'!G21,"")</f>
        <v/>
      </c>
      <c r="I39" s="334" t="str">
        <f>IF('Housing Income'!H21&lt;&gt;"",'Housing Income'!H21,"")</f>
        <v/>
      </c>
      <c r="J39" s="334" t="str">
        <f>IF('Housing Income'!I21&lt;&gt;"",'Housing Income'!I21,"")</f>
        <v/>
      </c>
      <c r="K39" s="335">
        <f t="shared" si="2"/>
        <v>0</v>
      </c>
      <c r="L39" s="437" t="str">
        <f>IF('Housing Income'!K21&lt;&gt;"",'Housing Income'!K21,"")</f>
        <v/>
      </c>
      <c r="M39" s="440">
        <f t="shared" si="3"/>
        <v>0</v>
      </c>
      <c r="O39" s="488"/>
      <c r="P39" s="486"/>
      <c r="Q39" s="486"/>
      <c r="R39" s="486"/>
      <c r="S39" s="487"/>
      <c r="V39" s="1132"/>
      <c r="W39" s="1134"/>
      <c r="X39" s="1132"/>
      <c r="Y39" s="1133"/>
    </row>
    <row r="40" spans="2:25" x14ac:dyDescent="0.25">
      <c r="B40" s="333" t="str">
        <f>IF('Housing Income'!B22&lt;&gt;"",'Housing Income'!B22,"")</f>
        <v/>
      </c>
      <c r="C40" s="1327" t="str">
        <f>IF('Housing Income'!C22&lt;&gt;"",'Housing Income'!C22,"")</f>
        <v/>
      </c>
      <c r="D40" s="1328"/>
      <c r="E40" s="334" t="str">
        <f>IF('Housing Income'!D22&lt;&gt;"",'Housing Income'!D22,"")</f>
        <v/>
      </c>
      <c r="F40" s="334" t="str">
        <f>IF('Housing Income'!E22&lt;&gt;"",'Housing Income'!E22,"")</f>
        <v/>
      </c>
      <c r="G40" s="605" t="str">
        <f>IF('Housing Income'!F22&lt;&gt;"",'Housing Income'!F22,"")</f>
        <v/>
      </c>
      <c r="H40" s="605" t="str">
        <f>IF('Housing Income'!G22&lt;&gt;"",'Housing Income'!G22,"")</f>
        <v/>
      </c>
      <c r="I40" s="334" t="str">
        <f>IF('Housing Income'!H22&lt;&gt;"",'Housing Income'!H22,"")</f>
        <v/>
      </c>
      <c r="J40" s="334" t="str">
        <f>IF('Housing Income'!I22&lt;&gt;"",'Housing Income'!I22,"")</f>
        <v/>
      </c>
      <c r="K40" s="335">
        <f t="shared" si="2"/>
        <v>0</v>
      </c>
      <c r="L40" s="437" t="str">
        <f>IF('Housing Income'!K22&lt;&gt;"",'Housing Income'!K22,"")</f>
        <v/>
      </c>
      <c r="M40" s="440">
        <f t="shared" si="3"/>
        <v>0</v>
      </c>
      <c r="O40" s="488"/>
      <c r="P40" s="486"/>
      <c r="Q40" s="486"/>
      <c r="R40" s="486"/>
      <c r="S40" s="487"/>
      <c r="V40" s="1132"/>
      <c r="W40" s="1134"/>
      <c r="X40" s="1132"/>
      <c r="Y40" s="1135"/>
    </row>
    <row r="41" spans="2:25" x14ac:dyDescent="0.25">
      <c r="B41" s="333" t="str">
        <f>IF('Housing Income'!B23&lt;&gt;"",'Housing Income'!B23,"")</f>
        <v/>
      </c>
      <c r="C41" s="1327" t="str">
        <f>IF('Housing Income'!C23&lt;&gt;"",'Housing Income'!C23,"")</f>
        <v/>
      </c>
      <c r="D41" s="1328"/>
      <c r="E41" s="334" t="str">
        <f>IF('Housing Income'!D23&lt;&gt;"",'Housing Income'!D23,"")</f>
        <v/>
      </c>
      <c r="F41" s="334" t="str">
        <f>IF('Housing Income'!E23&lt;&gt;"",'Housing Income'!E23,"")</f>
        <v/>
      </c>
      <c r="G41" s="605" t="str">
        <f>IF('Housing Income'!F23&lt;&gt;"",'Housing Income'!F23,"")</f>
        <v/>
      </c>
      <c r="H41" s="605" t="str">
        <f>IF('Housing Income'!G23&lt;&gt;"",'Housing Income'!G23,"")</f>
        <v/>
      </c>
      <c r="I41" s="334" t="str">
        <f>IF('Housing Income'!H23&lt;&gt;"",'Housing Income'!H23,"")</f>
        <v/>
      </c>
      <c r="J41" s="334" t="str">
        <f>IF('Housing Income'!I23&lt;&gt;"",'Housing Income'!I23,"")</f>
        <v/>
      </c>
      <c r="K41" s="335">
        <f t="shared" si="2"/>
        <v>0</v>
      </c>
      <c r="L41" s="437" t="str">
        <f>IF('Housing Income'!K23&lt;&gt;"",'Housing Income'!K23,"")</f>
        <v/>
      </c>
      <c r="M41" s="440">
        <f t="shared" si="3"/>
        <v>0</v>
      </c>
      <c r="O41" s="488"/>
      <c r="P41" s="486"/>
      <c r="Q41" s="486"/>
      <c r="R41" s="486"/>
      <c r="S41" s="487"/>
      <c r="V41" s="1132"/>
      <c r="W41" s="1136"/>
      <c r="X41" s="1132"/>
      <c r="Y41" s="1135"/>
    </row>
    <row r="42" spans="2:25" x14ac:dyDescent="0.25">
      <c r="B42" s="333" t="str">
        <f>IF('Housing Income'!B24&lt;&gt;"",'Housing Income'!B24,"")</f>
        <v/>
      </c>
      <c r="C42" s="1327" t="str">
        <f>IF('Housing Income'!C24&lt;&gt;"",'Housing Income'!C24,"")</f>
        <v/>
      </c>
      <c r="D42" s="1328"/>
      <c r="E42" s="334" t="str">
        <f>IF('Housing Income'!D24&lt;&gt;"",'Housing Income'!D24,"")</f>
        <v/>
      </c>
      <c r="F42" s="334" t="str">
        <f>IF('Housing Income'!E24&lt;&gt;"",'Housing Income'!E24,"")</f>
        <v/>
      </c>
      <c r="G42" s="605" t="str">
        <f>IF('Housing Income'!F24&lt;&gt;"",'Housing Income'!F24,"")</f>
        <v/>
      </c>
      <c r="H42" s="605" t="str">
        <f>IF('Housing Income'!G24&lt;&gt;"",'Housing Income'!G24,"")</f>
        <v/>
      </c>
      <c r="I42" s="334" t="str">
        <f>IF('Housing Income'!H24&lt;&gt;"",'Housing Income'!H24,"")</f>
        <v/>
      </c>
      <c r="J42" s="334" t="str">
        <f>IF('Housing Income'!I24&lt;&gt;"",'Housing Income'!I24,"")</f>
        <v/>
      </c>
      <c r="K42" s="335">
        <f t="shared" si="2"/>
        <v>0</v>
      </c>
      <c r="L42" s="437" t="str">
        <f>IF('Housing Income'!K24&lt;&gt;"",'Housing Income'!K24,"")</f>
        <v/>
      </c>
      <c r="M42" s="440">
        <f t="shared" si="3"/>
        <v>0</v>
      </c>
      <c r="O42" s="488"/>
      <c r="P42" s="486"/>
      <c r="Q42" s="486"/>
      <c r="R42" s="486"/>
      <c r="S42" s="487"/>
      <c r="V42" s="1132"/>
      <c r="W42" s="1132"/>
      <c r="X42" s="1132"/>
      <c r="Y42" s="1135"/>
    </row>
    <row r="43" spans="2:25" x14ac:dyDescent="0.25">
      <c r="B43" s="333" t="str">
        <f>IF('Housing Income'!B25&lt;&gt;"",'Housing Income'!B25,"")</f>
        <v/>
      </c>
      <c r="C43" s="1327" t="str">
        <f>IF('Housing Income'!C25&lt;&gt;"",'Housing Income'!C25,"")</f>
        <v/>
      </c>
      <c r="D43" s="1328"/>
      <c r="E43" s="334" t="str">
        <f>IF('Housing Income'!D25&lt;&gt;"",'Housing Income'!D25,"")</f>
        <v/>
      </c>
      <c r="F43" s="334" t="str">
        <f>IF('Housing Income'!E25&lt;&gt;"",'Housing Income'!E25,"")</f>
        <v/>
      </c>
      <c r="G43" s="336" t="str">
        <f>IF('Housing Income'!F25&lt;&gt;"",'Housing Income'!F25,"")</f>
        <v/>
      </c>
      <c r="H43" s="605" t="str">
        <f>IF('Housing Income'!G25&lt;&gt;"",'Housing Income'!G25,"")</f>
        <v/>
      </c>
      <c r="I43" s="334" t="str">
        <f>IF('Housing Income'!H25&lt;&gt;"",'Housing Income'!H25,"")</f>
        <v/>
      </c>
      <c r="J43" s="334" t="str">
        <f>IF('Housing Income'!I25&lt;&gt;"",'Housing Income'!I25,"")</f>
        <v/>
      </c>
      <c r="K43" s="335">
        <f t="shared" si="2"/>
        <v>0</v>
      </c>
      <c r="L43" s="437" t="str">
        <f>IF('Housing Income'!K25&lt;&gt;"",'Housing Income'!K25,"")</f>
        <v/>
      </c>
      <c r="M43" s="440">
        <f t="shared" si="3"/>
        <v>0</v>
      </c>
      <c r="O43" s="650"/>
      <c r="P43" s="486"/>
      <c r="Q43" s="486"/>
      <c r="R43" s="486"/>
      <c r="S43" s="487"/>
    </row>
    <row r="44" spans="2:25" x14ac:dyDescent="0.25">
      <c r="B44" s="333" t="str">
        <f>IF('Housing Income'!B26&lt;&gt;"",'Housing Income'!B26,"")</f>
        <v/>
      </c>
      <c r="C44" s="1327" t="str">
        <f>IF('Housing Income'!C26&lt;&gt;"",'Housing Income'!C26,"")</f>
        <v/>
      </c>
      <c r="D44" s="1328"/>
      <c r="E44" s="334" t="str">
        <f>IF('Housing Income'!D26&lt;&gt;"",'Housing Income'!D26,"")</f>
        <v/>
      </c>
      <c r="F44" s="334" t="str">
        <f>IF('Housing Income'!E26&lt;&gt;"",'Housing Income'!E26,"")</f>
        <v/>
      </c>
      <c r="G44" s="605" t="str">
        <f>IF('Housing Income'!F26&lt;&gt;"",'Housing Income'!F26,"")</f>
        <v/>
      </c>
      <c r="H44" s="605" t="str">
        <f>IF('Housing Income'!G26&lt;&gt;"",'Housing Income'!G26,"")</f>
        <v/>
      </c>
      <c r="I44" s="334" t="str">
        <f>IF('Housing Income'!H26&lt;&gt;"",'Housing Income'!H26,"")</f>
        <v/>
      </c>
      <c r="J44" s="334" t="str">
        <f>IF('Housing Income'!I26&lt;&gt;"",'Housing Income'!I26,"")</f>
        <v/>
      </c>
      <c r="K44" s="335">
        <f t="shared" si="2"/>
        <v>0</v>
      </c>
      <c r="L44" s="437" t="str">
        <f>IF('Housing Income'!K26&lt;&gt;"",'Housing Income'!K26,"")</f>
        <v/>
      </c>
      <c r="M44" s="440">
        <f t="shared" si="3"/>
        <v>0</v>
      </c>
      <c r="O44" s="488"/>
      <c r="P44" s="486"/>
      <c r="Q44" s="486"/>
      <c r="R44" s="486"/>
      <c r="S44" s="487"/>
    </row>
    <row r="45" spans="2:25" x14ac:dyDescent="0.25">
      <c r="B45" s="333" t="str">
        <f>IF('Housing Income'!B27&lt;&gt;"",'Housing Income'!B27,"")</f>
        <v/>
      </c>
      <c r="C45" s="1327" t="str">
        <f>IF('Housing Income'!C27&lt;&gt;"",'Housing Income'!C27,"")</f>
        <v/>
      </c>
      <c r="D45" s="1328"/>
      <c r="E45" s="334" t="str">
        <f>IF('Housing Income'!D27&lt;&gt;"",'Housing Income'!D27,"")</f>
        <v/>
      </c>
      <c r="F45" s="334" t="str">
        <f>IF('Housing Income'!E27&lt;&gt;"",'Housing Income'!E27,"")</f>
        <v/>
      </c>
      <c r="G45" s="605" t="str">
        <f>IF('Housing Income'!F27&lt;&gt;"",'Housing Income'!F27,"")</f>
        <v/>
      </c>
      <c r="H45" s="605" t="str">
        <f>IF('Housing Income'!G27&lt;&gt;"",'Housing Income'!G27,"")</f>
        <v/>
      </c>
      <c r="I45" s="334" t="str">
        <f>IF('Housing Income'!H27&lt;&gt;"",'Housing Income'!H27,"")</f>
        <v/>
      </c>
      <c r="J45" s="334" t="str">
        <f>IF('Housing Income'!I27&lt;&gt;"",'Housing Income'!I27,"")</f>
        <v/>
      </c>
      <c r="K45" s="335">
        <f t="shared" si="2"/>
        <v>0</v>
      </c>
      <c r="L45" s="437" t="str">
        <f>IF('Housing Income'!K27&lt;&gt;"",'Housing Income'!K27,"")</f>
        <v/>
      </c>
      <c r="M45" s="440">
        <f t="shared" si="3"/>
        <v>0</v>
      </c>
      <c r="O45" s="488"/>
      <c r="P45" s="486"/>
      <c r="Q45" s="486"/>
      <c r="R45" s="486"/>
      <c r="S45" s="487"/>
    </row>
    <row r="46" spans="2:25" x14ac:dyDescent="0.25">
      <c r="B46" s="333" t="str">
        <f>IF('Housing Income'!B28&lt;&gt;"",'Housing Income'!B28,"")</f>
        <v/>
      </c>
      <c r="C46" s="1327" t="str">
        <f>IF('Housing Income'!C28&lt;&gt;"",'Housing Income'!C28,"")</f>
        <v/>
      </c>
      <c r="D46" s="1328"/>
      <c r="E46" s="334" t="str">
        <f>IF('Housing Income'!D28&lt;&gt;"",'Housing Income'!D28,"")</f>
        <v/>
      </c>
      <c r="F46" s="334" t="str">
        <f>IF('Housing Income'!E28&lt;&gt;"",'Housing Income'!E28,"")</f>
        <v/>
      </c>
      <c r="G46" s="605" t="str">
        <f>IF('Housing Income'!F28&lt;&gt;"",'Housing Income'!F28,"")</f>
        <v/>
      </c>
      <c r="H46" s="605" t="str">
        <f>IF('Housing Income'!G28&lt;&gt;"",'Housing Income'!G28,"")</f>
        <v/>
      </c>
      <c r="I46" s="334" t="str">
        <f>IF('Housing Income'!H28&lt;&gt;"",'Housing Income'!H28,"")</f>
        <v/>
      </c>
      <c r="J46" s="334" t="str">
        <f>IF('Housing Income'!I28&lt;&gt;"",'Housing Income'!I28,"")</f>
        <v/>
      </c>
      <c r="K46" s="335">
        <f t="shared" si="2"/>
        <v>0</v>
      </c>
      <c r="L46" s="437" t="str">
        <f>IF('Housing Income'!K28&lt;&gt;"",'Housing Income'!K28,"")</f>
        <v/>
      </c>
      <c r="M46" s="440">
        <f t="shared" si="3"/>
        <v>0</v>
      </c>
      <c r="O46" s="488"/>
      <c r="P46" s="486"/>
      <c r="Q46" s="486"/>
      <c r="R46" s="486"/>
      <c r="S46" s="487"/>
    </row>
    <row r="47" spans="2:25" x14ac:dyDescent="0.25">
      <c r="B47" s="333" t="str">
        <f>IF('Housing Income'!B29&lt;&gt;"",'Housing Income'!B29,"")</f>
        <v/>
      </c>
      <c r="C47" s="1327" t="str">
        <f>IF('Housing Income'!C29&lt;&gt;"",'Housing Income'!C29,"")</f>
        <v/>
      </c>
      <c r="D47" s="1328"/>
      <c r="E47" s="334" t="str">
        <f>IF('Housing Income'!D29&lt;&gt;"",'Housing Income'!D29,"")</f>
        <v/>
      </c>
      <c r="F47" s="334" t="str">
        <f>IF('Housing Income'!E29&lt;&gt;"",'Housing Income'!E29,"")</f>
        <v/>
      </c>
      <c r="G47" s="605" t="str">
        <f>IF('Housing Income'!F29&lt;&gt;"",'Housing Income'!F29,"")</f>
        <v/>
      </c>
      <c r="H47" s="605" t="str">
        <f>IF('Housing Income'!G29&lt;&gt;"",'Housing Income'!G29,"")</f>
        <v/>
      </c>
      <c r="I47" s="334" t="str">
        <f>IF('Housing Income'!H29&lt;&gt;"",'Housing Income'!H29,"")</f>
        <v/>
      </c>
      <c r="J47" s="334" t="str">
        <f>IF('Housing Income'!I29&lt;&gt;"",'Housing Income'!I29,"")</f>
        <v/>
      </c>
      <c r="K47" s="335">
        <f t="shared" si="2"/>
        <v>0</v>
      </c>
      <c r="L47" s="437" t="str">
        <f>IF('Housing Income'!K29&lt;&gt;"",'Housing Income'!K29,"")</f>
        <v/>
      </c>
      <c r="M47" s="440">
        <f t="shared" si="3"/>
        <v>0</v>
      </c>
      <c r="O47" s="488"/>
      <c r="P47" s="486"/>
      <c r="Q47" s="486"/>
      <c r="R47" s="486"/>
      <c r="S47" s="487"/>
    </row>
    <row r="48" spans="2:25" x14ac:dyDescent="0.25">
      <c r="B48" s="333" t="str">
        <f>IF('Housing Income'!B30&lt;&gt;"",'Housing Income'!B30,"")</f>
        <v/>
      </c>
      <c r="C48" s="1327" t="str">
        <f>IF('Housing Income'!C30&lt;&gt;"",'Housing Income'!C30,"")</f>
        <v/>
      </c>
      <c r="D48" s="1328"/>
      <c r="E48" s="334" t="str">
        <f>IF('Housing Income'!D30&lt;&gt;"",'Housing Income'!D30,"")</f>
        <v/>
      </c>
      <c r="F48" s="334" t="str">
        <f>IF('Housing Income'!E30&lt;&gt;"",'Housing Income'!E30,"")</f>
        <v/>
      </c>
      <c r="G48" s="605" t="str">
        <f>IF('Housing Income'!F30&lt;&gt;"",'Housing Income'!F30,"")</f>
        <v/>
      </c>
      <c r="H48" s="605" t="str">
        <f>IF('Housing Income'!G30&lt;&gt;"",'Housing Income'!G30,"")</f>
        <v/>
      </c>
      <c r="I48" s="334" t="str">
        <f>IF('Housing Income'!H30&lt;&gt;"",'Housing Income'!H30,"")</f>
        <v/>
      </c>
      <c r="J48" s="334" t="str">
        <f>IF('Housing Income'!I30&lt;&gt;"",'Housing Income'!I30,"")</f>
        <v/>
      </c>
      <c r="K48" s="335">
        <f t="shared" si="2"/>
        <v>0</v>
      </c>
      <c r="L48" s="437" t="str">
        <f>IF('Housing Income'!K30&lt;&gt;"",'Housing Income'!K30,"")</f>
        <v/>
      </c>
      <c r="M48" s="440">
        <f t="shared" si="3"/>
        <v>0</v>
      </c>
      <c r="O48" s="488"/>
      <c r="P48" s="486"/>
      <c r="Q48" s="486"/>
      <c r="R48" s="486"/>
      <c r="S48" s="487"/>
    </row>
    <row r="49" spans="2:19" x14ac:dyDescent="0.25">
      <c r="B49" s="333" t="str">
        <f>IF('Housing Income'!B31&lt;&gt;"",'Housing Income'!B31,"")</f>
        <v/>
      </c>
      <c r="C49" s="1327" t="str">
        <f>IF('Housing Income'!C31&lt;&gt;"",'Housing Income'!C31,"")</f>
        <v/>
      </c>
      <c r="D49" s="1328"/>
      <c r="E49" s="334" t="str">
        <f>IF('Housing Income'!D31&lt;&gt;"",'Housing Income'!D31,"")</f>
        <v/>
      </c>
      <c r="F49" s="334" t="str">
        <f>IF('Housing Income'!E31&lt;&gt;"",'Housing Income'!E31,"")</f>
        <v/>
      </c>
      <c r="G49" s="605" t="str">
        <f>IF('Housing Income'!F31&lt;&gt;"",'Housing Income'!F31,"")</f>
        <v/>
      </c>
      <c r="H49" s="605" t="str">
        <f>IF('Housing Income'!G31&lt;&gt;"",'Housing Income'!G31,"")</f>
        <v/>
      </c>
      <c r="I49" s="334" t="str">
        <f>IF('Housing Income'!H31&lt;&gt;"",'Housing Income'!H31,"")</f>
        <v/>
      </c>
      <c r="J49" s="334" t="str">
        <f>IF('Housing Income'!I31&lt;&gt;"",'Housing Income'!I31,"")</f>
        <v/>
      </c>
      <c r="K49" s="335">
        <f t="shared" si="2"/>
        <v>0</v>
      </c>
      <c r="L49" s="437" t="str">
        <f>IF('Housing Income'!K31&lt;&gt;"",'Housing Income'!K31,"")</f>
        <v/>
      </c>
      <c r="M49" s="440">
        <f t="shared" si="3"/>
        <v>0</v>
      </c>
      <c r="O49" s="488"/>
      <c r="P49" s="486"/>
      <c r="Q49" s="486"/>
      <c r="R49" s="486"/>
      <c r="S49" s="487"/>
    </row>
    <row r="50" spans="2:19" x14ac:dyDescent="0.25">
      <c r="B50" s="333" t="str">
        <f>IF('Housing Income'!B32&lt;&gt;"",'Housing Income'!B32,"")</f>
        <v/>
      </c>
      <c r="C50" s="1327" t="str">
        <f>IF('Housing Income'!C32&lt;&gt;"",'Housing Income'!C32,"")</f>
        <v/>
      </c>
      <c r="D50" s="1328"/>
      <c r="E50" s="334" t="str">
        <f>IF('Housing Income'!D32&lt;&gt;"",'Housing Income'!D32,"")</f>
        <v/>
      </c>
      <c r="F50" s="334" t="str">
        <f>IF('Housing Income'!E32&lt;&gt;"",'Housing Income'!E32,"")</f>
        <v/>
      </c>
      <c r="G50" s="605" t="str">
        <f>IF('Housing Income'!F32&lt;&gt;"",'Housing Income'!F32,"")</f>
        <v/>
      </c>
      <c r="H50" s="605" t="str">
        <f>IF('Housing Income'!G32&lt;&gt;"",'Housing Income'!G32,"")</f>
        <v/>
      </c>
      <c r="I50" s="334" t="str">
        <f>IF('Housing Income'!H32&lt;&gt;"",'Housing Income'!H32,"")</f>
        <v/>
      </c>
      <c r="J50" s="334" t="str">
        <f>IF('Housing Income'!I32&lt;&gt;"",'Housing Income'!I32,"")</f>
        <v/>
      </c>
      <c r="K50" s="335">
        <f t="shared" si="2"/>
        <v>0</v>
      </c>
      <c r="L50" s="437" t="str">
        <f>IF('Housing Income'!K32&lt;&gt;"",'Housing Income'!K32,"")</f>
        <v/>
      </c>
      <c r="M50" s="440">
        <f t="shared" si="3"/>
        <v>0</v>
      </c>
      <c r="O50" s="488"/>
      <c r="P50" s="486"/>
      <c r="Q50" s="486"/>
      <c r="R50" s="486"/>
      <c r="S50" s="487"/>
    </row>
    <row r="51" spans="2:19" x14ac:dyDescent="0.25">
      <c r="B51" s="333" t="str">
        <f>IF('Housing Income'!B33&lt;&gt;"",'Housing Income'!B33,"")</f>
        <v/>
      </c>
      <c r="C51" s="1327" t="str">
        <f>IF('Housing Income'!C33&lt;&gt;"",'Housing Income'!C33,"")</f>
        <v/>
      </c>
      <c r="D51" s="1328"/>
      <c r="E51" s="334" t="str">
        <f>IF('Housing Income'!D33&lt;&gt;"",'Housing Income'!D33,"")</f>
        <v/>
      </c>
      <c r="F51" s="334" t="str">
        <f>IF('Housing Income'!E33&lt;&gt;"",'Housing Income'!E33,"")</f>
        <v/>
      </c>
      <c r="G51" s="605" t="str">
        <f>IF('Housing Income'!F33&lt;&gt;"",'Housing Income'!F33,"")</f>
        <v/>
      </c>
      <c r="H51" s="605" t="str">
        <f>IF('Housing Income'!G33&lt;&gt;"",'Housing Income'!G33,"")</f>
        <v/>
      </c>
      <c r="I51" s="334" t="str">
        <f>IF('Housing Income'!H33&lt;&gt;"",'Housing Income'!H33,"")</f>
        <v/>
      </c>
      <c r="J51" s="334" t="str">
        <f>IF('Housing Income'!I33&lt;&gt;"",'Housing Income'!I33,"")</f>
        <v/>
      </c>
      <c r="K51" s="335">
        <f t="shared" si="2"/>
        <v>0</v>
      </c>
      <c r="L51" s="437" t="str">
        <f>IF('Housing Income'!K33&lt;&gt;"",'Housing Income'!K33,"")</f>
        <v/>
      </c>
      <c r="M51" s="440">
        <f t="shared" si="3"/>
        <v>0</v>
      </c>
      <c r="O51" s="488"/>
      <c r="P51" s="486"/>
      <c r="Q51" s="486"/>
      <c r="R51" s="486"/>
      <c r="S51" s="487"/>
    </row>
    <row r="52" spans="2:19" ht="15.75" thickBot="1" x14ac:dyDescent="0.3">
      <c r="B52" s="17" t="s">
        <v>5</v>
      </c>
      <c r="C52" s="1335"/>
      <c r="D52" s="1336"/>
      <c r="E52" s="441">
        <f>SUM(E37:E51)</f>
        <v>0</v>
      </c>
      <c r="F52" s="13"/>
      <c r="G52" s="13"/>
      <c r="H52" s="13"/>
      <c r="I52" s="13"/>
      <c r="J52" s="13"/>
      <c r="K52" s="13"/>
      <c r="L52" s="13"/>
      <c r="M52" s="16">
        <f>SUM(M37:M51)</f>
        <v>0</v>
      </c>
      <c r="O52" s="488"/>
      <c r="P52" s="486"/>
      <c r="Q52" s="486"/>
      <c r="R52" s="486"/>
      <c r="S52" s="487"/>
    </row>
    <row r="53" spans="2:19" ht="15.75" thickBot="1" x14ac:dyDescent="0.3">
      <c r="B53" s="442"/>
      <c r="C53" s="442"/>
      <c r="D53" s="442"/>
      <c r="E53" s="442"/>
      <c r="F53" s="443"/>
      <c r="G53" s="2"/>
      <c r="H53" s="2"/>
      <c r="I53" s="2"/>
      <c r="J53" s="2"/>
      <c r="K53" s="2"/>
      <c r="L53" s="2"/>
      <c r="M53" s="2"/>
      <c r="O53" s="488"/>
      <c r="P53" s="486"/>
      <c r="Q53" s="486"/>
      <c r="R53" s="486"/>
      <c r="S53" s="487"/>
    </row>
    <row r="54" spans="2:19" ht="15.75" customHeight="1" thickBot="1" x14ac:dyDescent="0.3">
      <c r="B54" s="1233" t="str">
        <f>UPPER(E7) &amp; " INCOME AND EXPENSES"</f>
        <v xml:space="preserve"> INCOME AND EXPENSES</v>
      </c>
      <c r="C54" s="1234"/>
      <c r="D54" s="1234"/>
      <c r="E54" s="1234"/>
      <c r="F54" s="1234"/>
      <c r="G54" s="1234"/>
      <c r="H54" s="1234"/>
      <c r="I54" s="1234"/>
      <c r="J54" s="1234"/>
      <c r="K54" s="1234"/>
      <c r="L54" s="1234"/>
      <c r="M54" s="1235"/>
      <c r="O54" s="488"/>
      <c r="P54" s="486"/>
      <c r="Q54" s="486"/>
      <c r="R54" s="486"/>
      <c r="S54" s="487"/>
    </row>
    <row r="55" spans="2:19" ht="18.75" customHeight="1" thickBot="1" x14ac:dyDescent="0.3">
      <c r="B55" s="1258"/>
      <c r="C55" s="1259"/>
      <c r="D55" s="1259"/>
      <c r="E55" s="1259"/>
      <c r="F55" s="1260"/>
      <c r="G55" s="1255" t="s">
        <v>34</v>
      </c>
      <c r="H55" s="1256"/>
      <c r="I55" s="1257"/>
      <c r="J55" s="1208" t="str">
        <f>'Inc &amp; Exp'!I4</f>
        <v>Operating Comparison</v>
      </c>
      <c r="K55" s="1208"/>
      <c r="L55" s="1208"/>
      <c r="M55" s="1209"/>
      <c r="O55" s="488"/>
      <c r="P55" s="486"/>
      <c r="Q55" s="486"/>
      <c r="R55" s="486"/>
      <c r="S55" s="487"/>
    </row>
    <row r="56" spans="2:19" ht="15.75" customHeight="1" x14ac:dyDescent="0.25">
      <c r="B56" s="1261" t="s">
        <v>456</v>
      </c>
      <c r="C56" s="1262"/>
      <c r="D56" s="1262"/>
      <c r="E56" s="1262"/>
      <c r="F56" s="1262"/>
      <c r="G56" s="1210">
        <f>E7</f>
        <v>0</v>
      </c>
      <c r="H56" s="1211"/>
      <c r="I56" s="1212"/>
      <c r="J56" s="359" t="str">
        <f>'Inc &amp; Exp'!I5</f>
        <v>Appraisal</v>
      </c>
      <c r="K56" s="360">
        <f>'Inc &amp; Exp'!J5</f>
        <v>0</v>
      </c>
      <c r="L56" s="361">
        <f>'Inc &amp; Exp'!K5</f>
        <v>0</v>
      </c>
      <c r="M56" s="362">
        <f>'Inc &amp; Exp'!L5</f>
        <v>0</v>
      </c>
      <c r="O56" s="488"/>
      <c r="P56" s="486"/>
      <c r="Q56" s="486"/>
      <c r="R56" s="486"/>
      <c r="S56" s="487"/>
    </row>
    <row r="57" spans="2:19" x14ac:dyDescent="0.25">
      <c r="B57" s="1231" t="s">
        <v>127</v>
      </c>
      <c r="C57" s="1232"/>
      <c r="D57" s="1232"/>
      <c r="E57" s="1232"/>
      <c r="F57" s="1232"/>
      <c r="G57" s="1321">
        <f>E11</f>
        <v>0</v>
      </c>
      <c r="H57" s="1322"/>
      <c r="I57" s="1323"/>
      <c r="J57" s="363">
        <f>'Inc &amp; Exp'!I6</f>
        <v>0</v>
      </c>
      <c r="K57" s="566">
        <f>'Inc &amp; Exp'!J6</f>
        <v>0</v>
      </c>
      <c r="L57" s="567">
        <f>'Inc &amp; Exp'!K6</f>
        <v>0</v>
      </c>
      <c r="M57" s="568">
        <f>'Inc &amp; Exp'!L6</f>
        <v>0</v>
      </c>
      <c r="O57" s="488"/>
      <c r="P57" s="486"/>
      <c r="Q57" s="486"/>
      <c r="R57" s="486"/>
      <c r="S57" s="487"/>
    </row>
    <row r="58" spans="2:19" ht="16.5" customHeight="1" thickBot="1" x14ac:dyDescent="0.3">
      <c r="B58" s="1263" t="s">
        <v>457</v>
      </c>
      <c r="C58" s="1264"/>
      <c r="D58" s="1264"/>
      <c r="E58" s="1264"/>
      <c r="F58" s="1264"/>
      <c r="G58" s="1318">
        <f>'Housing Income'!D34</f>
        <v>0</v>
      </c>
      <c r="H58" s="1319"/>
      <c r="I58" s="1320"/>
      <c r="J58" s="364">
        <f>'Inc &amp; Exp'!I7</f>
        <v>0</v>
      </c>
      <c r="K58" s="569">
        <f>'Inc &amp; Exp'!J7</f>
        <v>0</v>
      </c>
      <c r="L58" s="570">
        <f>'Inc &amp; Exp'!K7</f>
        <v>0</v>
      </c>
      <c r="M58" s="571">
        <f>'Inc &amp; Exp'!L7</f>
        <v>0</v>
      </c>
      <c r="O58" s="488"/>
      <c r="P58" s="486"/>
      <c r="Q58" s="486"/>
      <c r="R58" s="486"/>
      <c r="S58" s="487"/>
    </row>
    <row r="59" spans="2:19" x14ac:dyDescent="0.25">
      <c r="B59" s="1240" t="s">
        <v>6</v>
      </c>
      <c r="C59" s="1241"/>
      <c r="D59" s="1241"/>
      <c r="E59" s="1241"/>
      <c r="F59" s="1265"/>
      <c r="G59" s="337"/>
      <c r="H59" s="353" t="s">
        <v>36</v>
      </c>
      <c r="I59" s="509" t="s">
        <v>85</v>
      </c>
      <c r="J59" s="509" t="str">
        <f>'Inc &amp; Exp'!I8</f>
        <v>Per Unit</v>
      </c>
      <c r="K59" s="510" t="str">
        <f>'Inc &amp; Exp'!J8</f>
        <v>Per Unit</v>
      </c>
      <c r="L59" s="511" t="str">
        <f>'Inc &amp; Exp'!K8</f>
        <v>Per Unit</v>
      </c>
      <c r="M59" s="512" t="str">
        <f>'Inc &amp; Exp'!L8</f>
        <v>Per Unit</v>
      </c>
      <c r="O59" s="488"/>
      <c r="P59" s="486"/>
      <c r="Q59" s="486"/>
      <c r="R59" s="486"/>
      <c r="S59" s="487"/>
    </row>
    <row r="60" spans="2:19" x14ac:dyDescent="0.25">
      <c r="B60" s="1203" t="s">
        <v>7</v>
      </c>
      <c r="C60" s="1193"/>
      <c r="D60" s="1193"/>
      <c r="E60" s="1193"/>
      <c r="F60" s="1204"/>
      <c r="G60" s="338"/>
      <c r="H60" s="513"/>
      <c r="I60" s="514"/>
      <c r="J60" s="515"/>
      <c r="K60" s="516"/>
      <c r="L60" s="517"/>
      <c r="M60" s="515"/>
      <c r="O60" s="488"/>
      <c r="P60" s="486"/>
      <c r="Q60" s="486"/>
      <c r="R60" s="486"/>
      <c r="S60" s="487"/>
    </row>
    <row r="61" spans="2:19" x14ac:dyDescent="0.25">
      <c r="B61" s="1200" t="s">
        <v>8</v>
      </c>
      <c r="C61" s="1201"/>
      <c r="D61" s="1201"/>
      <c r="E61" s="1201"/>
      <c r="F61" s="1250"/>
      <c r="G61" s="338"/>
      <c r="H61" s="518">
        <f>'Inc &amp; Exp'!G10</f>
        <v>0</v>
      </c>
      <c r="I61" s="519">
        <f>IF($G$58&gt;0,H61/$G$58,)</f>
        <v>0</v>
      </c>
      <c r="J61" s="519">
        <f>'Inc &amp; Exp'!I10</f>
        <v>0</v>
      </c>
      <c r="K61" s="516">
        <f>'Inc &amp; Exp'!J10</f>
        <v>0</v>
      </c>
      <c r="L61" s="517">
        <f>'Inc &amp; Exp'!K10</f>
        <v>0</v>
      </c>
      <c r="M61" s="515">
        <f>'Inc &amp; Exp'!L10</f>
        <v>0</v>
      </c>
      <c r="O61" s="491"/>
      <c r="P61" s="492"/>
      <c r="Q61" s="492"/>
      <c r="R61" s="492"/>
      <c r="S61" s="487"/>
    </row>
    <row r="62" spans="2:19" x14ac:dyDescent="0.25">
      <c r="B62" s="1200" t="s">
        <v>9</v>
      </c>
      <c r="C62" s="1201"/>
      <c r="D62" s="1201"/>
      <c r="E62" s="1201"/>
      <c r="F62" s="1250"/>
      <c r="G62" s="338"/>
      <c r="H62" s="518">
        <f>'Inc &amp; Exp'!G11</f>
        <v>0</v>
      </c>
      <c r="I62" s="519">
        <f t="shared" ref="I62:I63" si="4">IF($G$58&gt;0,H62/$G$58,)</f>
        <v>0</v>
      </c>
      <c r="J62" s="520">
        <f>'Inc &amp; Exp'!I11</f>
        <v>0</v>
      </c>
      <c r="K62" s="516">
        <f>'Inc &amp; Exp'!J11</f>
        <v>0</v>
      </c>
      <c r="L62" s="517">
        <f>'Inc &amp; Exp'!K11</f>
        <v>0</v>
      </c>
      <c r="M62" s="515">
        <f>'Inc &amp; Exp'!L11</f>
        <v>0</v>
      </c>
      <c r="O62" s="488"/>
      <c r="P62" s="486"/>
      <c r="Q62" s="486"/>
      <c r="R62" s="486"/>
      <c r="S62" s="487"/>
    </row>
    <row r="63" spans="2:19" ht="15.75" thickBot="1" x14ac:dyDescent="0.3">
      <c r="B63" s="1217" t="s">
        <v>10</v>
      </c>
      <c r="C63" s="1218"/>
      <c r="D63" s="1218"/>
      <c r="E63" s="1218"/>
      <c r="F63" s="1251"/>
      <c r="G63" s="339"/>
      <c r="H63" s="521">
        <f>'Inc &amp; Exp'!G12</f>
        <v>0</v>
      </c>
      <c r="I63" s="522">
        <f t="shared" si="4"/>
        <v>0</v>
      </c>
      <c r="J63" s="523">
        <f>'Inc &amp; Exp'!I12</f>
        <v>0</v>
      </c>
      <c r="K63" s="524">
        <f>'Inc &amp; Exp'!J12</f>
        <v>0</v>
      </c>
      <c r="L63" s="525">
        <f>'Inc &amp; Exp'!K12</f>
        <v>0</v>
      </c>
      <c r="M63" s="526">
        <f>'Inc &amp; Exp'!L12</f>
        <v>0</v>
      </c>
      <c r="O63" s="488"/>
      <c r="P63" s="486"/>
      <c r="Q63" s="486"/>
      <c r="R63" s="486"/>
      <c r="S63" s="487"/>
    </row>
    <row r="64" spans="2:19" x14ac:dyDescent="0.25">
      <c r="B64" s="1243" t="s">
        <v>31</v>
      </c>
      <c r="C64" s="1244"/>
      <c r="D64" s="1244"/>
      <c r="E64" s="1244"/>
      <c r="F64" s="1245"/>
      <c r="G64" s="340"/>
      <c r="H64" s="527">
        <f t="shared" ref="H64:M64" si="5">SUM(H61:H63)</f>
        <v>0</v>
      </c>
      <c r="I64" s="528">
        <f t="shared" si="5"/>
        <v>0</v>
      </c>
      <c r="J64" s="529">
        <f t="shared" si="5"/>
        <v>0</v>
      </c>
      <c r="K64" s="530">
        <f t="shared" si="5"/>
        <v>0</v>
      </c>
      <c r="L64" s="531">
        <f t="shared" si="5"/>
        <v>0</v>
      </c>
      <c r="M64" s="532">
        <f t="shared" si="5"/>
        <v>0</v>
      </c>
      <c r="O64" s="488"/>
      <c r="P64" s="486"/>
      <c r="Q64" s="486"/>
      <c r="R64" s="486"/>
      <c r="S64" s="487"/>
    </row>
    <row r="65" spans="2:19" x14ac:dyDescent="0.25">
      <c r="B65" s="1246"/>
      <c r="C65" s="1247"/>
      <c r="D65" s="1247"/>
      <c r="E65" s="1247"/>
      <c r="F65" s="1248"/>
      <c r="G65" s="341"/>
      <c r="H65" s="527"/>
      <c r="I65" s="533"/>
      <c r="J65" s="534"/>
      <c r="K65" s="535"/>
      <c r="L65" s="536"/>
      <c r="M65" s="537"/>
      <c r="O65" s="488"/>
      <c r="P65" s="486"/>
      <c r="Q65" s="486"/>
      <c r="R65" s="486"/>
      <c r="S65" s="487"/>
    </row>
    <row r="66" spans="2:19" x14ac:dyDescent="0.25">
      <c r="B66" s="1203" t="s">
        <v>24</v>
      </c>
      <c r="C66" s="1193"/>
      <c r="D66" s="1193"/>
      <c r="E66" s="1193"/>
      <c r="F66" s="1249"/>
      <c r="G66" s="338"/>
      <c r="H66" s="518"/>
      <c r="I66" s="519"/>
      <c r="J66" s="538"/>
      <c r="K66" s="535"/>
      <c r="L66" s="536"/>
      <c r="M66" s="515"/>
      <c r="O66" s="488"/>
      <c r="P66" s="486"/>
      <c r="Q66" s="486"/>
      <c r="R66" s="486"/>
      <c r="S66" s="487"/>
    </row>
    <row r="67" spans="2:19" x14ac:dyDescent="0.25">
      <c r="B67" s="1200" t="s">
        <v>11</v>
      </c>
      <c r="C67" s="1201"/>
      <c r="D67" s="1201"/>
      <c r="E67" s="1201"/>
      <c r="F67" s="1202"/>
      <c r="G67" s="338"/>
      <c r="H67" s="518">
        <f>'Inc &amp; Exp'!G16</f>
        <v>0</v>
      </c>
      <c r="I67" s="519">
        <f t="shared" ref="I67:I69" si="6">IF($G$58&gt;0,H67/$G$58,)</f>
        <v>0</v>
      </c>
      <c r="J67" s="538">
        <f>'Inc &amp; Exp'!I16</f>
        <v>0</v>
      </c>
      <c r="K67" s="516">
        <f>'Inc &amp; Exp'!J16</f>
        <v>0</v>
      </c>
      <c r="L67" s="517">
        <f>'Inc &amp; Exp'!K16</f>
        <v>0</v>
      </c>
      <c r="M67" s="515">
        <f>'Inc &amp; Exp'!L16</f>
        <v>0</v>
      </c>
      <c r="O67" s="488"/>
      <c r="P67" s="486"/>
      <c r="Q67" s="486"/>
      <c r="R67" s="486"/>
      <c r="S67" s="487"/>
    </row>
    <row r="68" spans="2:19" x14ac:dyDescent="0.25">
      <c r="B68" s="1200" t="s">
        <v>12</v>
      </c>
      <c r="C68" s="1201"/>
      <c r="D68" s="1201"/>
      <c r="E68" s="1201"/>
      <c r="F68" s="1202"/>
      <c r="G68" s="338"/>
      <c r="H68" s="518">
        <f>'Inc &amp; Exp'!G17</f>
        <v>0</v>
      </c>
      <c r="I68" s="519">
        <f t="shared" si="6"/>
        <v>0</v>
      </c>
      <c r="J68" s="538">
        <f>'Inc &amp; Exp'!I17</f>
        <v>0</v>
      </c>
      <c r="K68" s="516">
        <f>'Inc &amp; Exp'!J17</f>
        <v>0</v>
      </c>
      <c r="L68" s="517">
        <f>'Inc &amp; Exp'!K17</f>
        <v>0</v>
      </c>
      <c r="M68" s="515">
        <f>'Inc &amp; Exp'!L17</f>
        <v>0</v>
      </c>
      <c r="O68" s="488"/>
      <c r="P68" s="486"/>
      <c r="Q68" s="486"/>
      <c r="R68" s="486"/>
      <c r="S68" s="487"/>
    </row>
    <row r="69" spans="2:19" ht="15.75" thickBot="1" x14ac:dyDescent="0.3">
      <c r="B69" s="1217" t="s">
        <v>13</v>
      </c>
      <c r="C69" s="1218"/>
      <c r="D69" s="1218"/>
      <c r="E69" s="1218"/>
      <c r="F69" s="1219"/>
      <c r="G69" s="339"/>
      <c r="H69" s="521">
        <f>'Inc &amp; Exp'!G18</f>
        <v>0</v>
      </c>
      <c r="I69" s="522">
        <f t="shared" si="6"/>
        <v>0</v>
      </c>
      <c r="J69" s="539">
        <f>'Inc &amp; Exp'!I18</f>
        <v>0</v>
      </c>
      <c r="K69" s="524">
        <f>'Inc &amp; Exp'!J18</f>
        <v>0</v>
      </c>
      <c r="L69" s="525">
        <f>'Inc &amp; Exp'!K18</f>
        <v>0</v>
      </c>
      <c r="M69" s="526">
        <f>'Inc &amp; Exp'!L18</f>
        <v>0</v>
      </c>
      <c r="O69" s="488"/>
      <c r="P69" s="486"/>
      <c r="Q69" s="486"/>
      <c r="R69" s="486"/>
      <c r="S69" s="487"/>
    </row>
    <row r="70" spans="2:19" x14ac:dyDescent="0.25">
      <c r="B70" s="1243" t="s">
        <v>14</v>
      </c>
      <c r="C70" s="1244"/>
      <c r="D70" s="1244"/>
      <c r="E70" s="1244"/>
      <c r="F70" s="1245"/>
      <c r="G70" s="340"/>
      <c r="H70" s="527">
        <f t="shared" ref="H70:M70" si="7">SUM(H67:H69)</f>
        <v>0</v>
      </c>
      <c r="I70" s="528">
        <f t="shared" si="7"/>
        <v>0</v>
      </c>
      <c r="J70" s="540">
        <f t="shared" si="7"/>
        <v>0</v>
      </c>
      <c r="K70" s="530">
        <f t="shared" si="7"/>
        <v>0</v>
      </c>
      <c r="L70" s="531">
        <f t="shared" si="7"/>
        <v>0</v>
      </c>
      <c r="M70" s="532">
        <f t="shared" si="7"/>
        <v>0</v>
      </c>
      <c r="O70" s="488"/>
      <c r="P70" s="486"/>
      <c r="Q70" s="486"/>
      <c r="R70" s="486"/>
      <c r="S70" s="487"/>
    </row>
    <row r="71" spans="2:19" x14ac:dyDescent="0.25">
      <c r="B71" s="1200"/>
      <c r="C71" s="1201"/>
      <c r="D71" s="1201"/>
      <c r="E71" s="1201"/>
      <c r="F71" s="1202"/>
      <c r="G71" s="342"/>
      <c r="H71" s="541"/>
      <c r="I71" s="519"/>
      <c r="J71" s="542"/>
      <c r="K71" s="543"/>
      <c r="L71" s="544"/>
      <c r="M71" s="545"/>
      <c r="O71" s="488"/>
      <c r="P71" s="486"/>
      <c r="Q71" s="486"/>
      <c r="R71" s="486"/>
      <c r="S71" s="487"/>
    </row>
    <row r="72" spans="2:19" x14ac:dyDescent="0.25">
      <c r="B72" s="1203" t="s">
        <v>25</v>
      </c>
      <c r="C72" s="1193"/>
      <c r="D72" s="1193"/>
      <c r="E72" s="1193"/>
      <c r="F72" s="1249"/>
      <c r="G72" s="343" t="s">
        <v>42</v>
      </c>
      <c r="H72" s="518"/>
      <c r="I72" s="519"/>
      <c r="J72" s="538"/>
      <c r="K72" s="516"/>
      <c r="L72" s="517"/>
      <c r="M72" s="515"/>
      <c r="O72" s="488"/>
      <c r="P72" s="486"/>
      <c r="Q72" s="486"/>
      <c r="R72" s="486"/>
      <c r="S72" s="487"/>
    </row>
    <row r="73" spans="2:19" x14ac:dyDescent="0.25">
      <c r="B73" s="1200" t="s">
        <v>26</v>
      </c>
      <c r="C73" s="1201"/>
      <c r="D73" s="1201"/>
      <c r="E73" s="1201"/>
      <c r="F73" s="1202"/>
      <c r="G73" s="344">
        <f>IFERROR(H73/(H70+H61),0)</f>
        <v>0</v>
      </c>
      <c r="H73" s="518">
        <f>'Inc &amp; Exp'!G22</f>
        <v>0</v>
      </c>
      <c r="I73" s="519">
        <f t="shared" ref="I73:I75" si="8">IF($G$58&gt;0,H73/$G$58,)</f>
        <v>0</v>
      </c>
      <c r="J73" s="538">
        <f>'Inc &amp; Exp'!I22</f>
        <v>0</v>
      </c>
      <c r="K73" s="516">
        <f>'Inc &amp; Exp'!J22</f>
        <v>0</v>
      </c>
      <c r="L73" s="517">
        <f>'Inc &amp; Exp'!K22</f>
        <v>0</v>
      </c>
      <c r="M73" s="515">
        <f>'Inc &amp; Exp'!L22</f>
        <v>0</v>
      </c>
      <c r="O73" s="488"/>
      <c r="P73" s="486"/>
      <c r="Q73" s="486"/>
      <c r="R73" s="486"/>
      <c r="S73" s="487"/>
    </row>
    <row r="74" spans="2:19" x14ac:dyDescent="0.25">
      <c r="B74" s="1200" t="s">
        <v>27</v>
      </c>
      <c r="C74" s="1201"/>
      <c r="D74" s="1201"/>
      <c r="E74" s="1201"/>
      <c r="F74" s="1202"/>
      <c r="G74" s="344">
        <f>IFERROR(H74/H62,0)</f>
        <v>0</v>
      </c>
      <c r="H74" s="518">
        <f>'Inc &amp; Exp'!G23</f>
        <v>0</v>
      </c>
      <c r="I74" s="519">
        <f t="shared" si="8"/>
        <v>0</v>
      </c>
      <c r="J74" s="538">
        <f>'Inc &amp; Exp'!I23</f>
        <v>0</v>
      </c>
      <c r="K74" s="516">
        <f>'Inc &amp; Exp'!J23</f>
        <v>0</v>
      </c>
      <c r="L74" s="517">
        <f>'Inc &amp; Exp'!K23</f>
        <v>0</v>
      </c>
      <c r="M74" s="515">
        <f>'Inc &amp; Exp'!L23</f>
        <v>0</v>
      </c>
      <c r="O74" s="488"/>
      <c r="P74" s="486"/>
      <c r="Q74" s="486"/>
      <c r="R74" s="486"/>
      <c r="S74" s="487"/>
    </row>
    <row r="75" spans="2:19" ht="15.75" thickBot="1" x14ac:dyDescent="0.3">
      <c r="B75" s="1217" t="s">
        <v>28</v>
      </c>
      <c r="C75" s="1218"/>
      <c r="D75" s="1218"/>
      <c r="E75" s="1218"/>
      <c r="F75" s="1219"/>
      <c r="G75" s="345">
        <f>IFERROR(H75/H63,0)</f>
        <v>0</v>
      </c>
      <c r="H75" s="521">
        <f>'Inc &amp; Exp'!G24</f>
        <v>0</v>
      </c>
      <c r="I75" s="522">
        <f t="shared" si="8"/>
        <v>0</v>
      </c>
      <c r="J75" s="539">
        <f>'Inc &amp; Exp'!I24</f>
        <v>0</v>
      </c>
      <c r="K75" s="524">
        <f>'Inc &amp; Exp'!J24</f>
        <v>0</v>
      </c>
      <c r="L75" s="525">
        <f>'Inc &amp; Exp'!K24</f>
        <v>0</v>
      </c>
      <c r="M75" s="526">
        <f>'Inc &amp; Exp'!L24</f>
        <v>0</v>
      </c>
      <c r="O75" s="488"/>
      <c r="P75" s="486"/>
      <c r="Q75" s="486"/>
      <c r="R75" s="486"/>
      <c r="S75" s="487"/>
    </row>
    <row r="76" spans="2:19" x14ac:dyDescent="0.25">
      <c r="B76" s="1243" t="s">
        <v>29</v>
      </c>
      <c r="C76" s="1244"/>
      <c r="D76" s="1244"/>
      <c r="E76" s="1244"/>
      <c r="F76" s="1245"/>
      <c r="G76" s="340"/>
      <c r="H76" s="527">
        <f t="shared" ref="H76:M76" si="9">SUM(H73:H75)</f>
        <v>0</v>
      </c>
      <c r="I76" s="528">
        <f t="shared" si="9"/>
        <v>0</v>
      </c>
      <c r="J76" s="540">
        <f t="shared" si="9"/>
        <v>0</v>
      </c>
      <c r="K76" s="530">
        <f t="shared" si="9"/>
        <v>0</v>
      </c>
      <c r="L76" s="531">
        <f t="shared" si="9"/>
        <v>0</v>
      </c>
      <c r="M76" s="532">
        <f t="shared" si="9"/>
        <v>0</v>
      </c>
      <c r="O76" s="488"/>
      <c r="P76" s="486"/>
      <c r="Q76" s="486"/>
      <c r="R76" s="486"/>
      <c r="S76" s="487"/>
    </row>
    <row r="77" spans="2:19" ht="15.75" thickBot="1" x14ac:dyDescent="0.3">
      <c r="B77" s="1340"/>
      <c r="C77" s="1341"/>
      <c r="D77" s="1341"/>
      <c r="E77" s="1341"/>
      <c r="F77" s="1342"/>
      <c r="G77" s="346"/>
      <c r="H77" s="546"/>
      <c r="I77" s="522"/>
      <c r="J77" s="547">
        <f>IFERROR(J76/(J70+J64),0)</f>
        <v>0</v>
      </c>
      <c r="K77" s="548">
        <f>IFERROR(K76/(K70+K64),0)</f>
        <v>0</v>
      </c>
      <c r="L77" s="549">
        <f t="shared" ref="L77:M77" si="10">IFERROR(L76/(L70+L64),0)</f>
        <v>0</v>
      </c>
      <c r="M77" s="550">
        <f t="shared" si="10"/>
        <v>0</v>
      </c>
      <c r="O77" s="488"/>
      <c r="P77" s="486"/>
      <c r="Q77" s="486"/>
      <c r="R77" s="486"/>
      <c r="S77" s="487"/>
    </row>
    <row r="78" spans="2:19" x14ac:dyDescent="0.25">
      <c r="B78" s="1240" t="s">
        <v>30</v>
      </c>
      <c r="C78" s="1241"/>
      <c r="D78" s="1241"/>
      <c r="E78" s="1241"/>
      <c r="F78" s="1242"/>
      <c r="G78" s="340"/>
      <c r="H78" s="527">
        <f t="shared" ref="H78:M78" si="11">H64+H70-H76</f>
        <v>0</v>
      </c>
      <c r="I78" s="528">
        <f t="shared" si="11"/>
        <v>0</v>
      </c>
      <c r="J78" s="540">
        <f t="shared" si="11"/>
        <v>0</v>
      </c>
      <c r="K78" s="530">
        <f t="shared" si="11"/>
        <v>0</v>
      </c>
      <c r="L78" s="531">
        <f t="shared" si="11"/>
        <v>0</v>
      </c>
      <c r="M78" s="532">
        <f t="shared" si="11"/>
        <v>0</v>
      </c>
      <c r="O78" s="491"/>
      <c r="P78" s="492"/>
      <c r="Q78" s="492"/>
      <c r="R78" s="492"/>
      <c r="S78" s="487"/>
    </row>
    <row r="79" spans="2:19" x14ac:dyDescent="0.25">
      <c r="B79" s="1200"/>
      <c r="C79" s="1201"/>
      <c r="D79" s="1201"/>
      <c r="E79" s="1201"/>
      <c r="F79" s="1202"/>
      <c r="G79" s="338"/>
      <c r="H79" s="518"/>
      <c r="I79" s="519"/>
      <c r="J79" s="538"/>
      <c r="K79" s="516"/>
      <c r="L79" s="517"/>
      <c r="M79" s="515"/>
      <c r="O79" s="488"/>
      <c r="P79" s="486"/>
      <c r="Q79" s="486"/>
      <c r="R79" s="486"/>
      <c r="S79" s="487"/>
    </row>
    <row r="80" spans="2:19" x14ac:dyDescent="0.25">
      <c r="B80" s="1203" t="s">
        <v>15</v>
      </c>
      <c r="C80" s="1193"/>
      <c r="D80" s="1193"/>
      <c r="E80" s="1193"/>
      <c r="F80" s="1249"/>
      <c r="G80" s="338"/>
      <c r="H80" s="518"/>
      <c r="I80" s="519"/>
      <c r="J80" s="538"/>
      <c r="K80" s="516"/>
      <c r="L80" s="517"/>
      <c r="M80" s="515"/>
      <c r="O80" s="488"/>
      <c r="P80" s="486"/>
      <c r="Q80" s="486"/>
      <c r="R80" s="486"/>
      <c r="S80" s="487"/>
    </row>
    <row r="81" spans="2:19" x14ac:dyDescent="0.25">
      <c r="B81" s="1339" t="s">
        <v>109</v>
      </c>
      <c r="C81" s="1201"/>
      <c r="D81" s="1201"/>
      <c r="E81" s="1201"/>
      <c r="F81" s="1202"/>
      <c r="G81" s="338"/>
      <c r="H81" s="518">
        <f>'Inc &amp; Exp'!G30</f>
        <v>0</v>
      </c>
      <c r="I81" s="519">
        <f t="shared" ref="I81:I86" si="12">IF($G$58&gt;0,H81/$G$58,)</f>
        <v>0</v>
      </c>
      <c r="J81" s="538">
        <f>'Inc &amp; Exp'!I30</f>
        <v>0</v>
      </c>
      <c r="K81" s="551">
        <f>'Inc &amp; Exp'!J30</f>
        <v>0</v>
      </c>
      <c r="L81" s="552">
        <f>'Inc &amp; Exp'!K30</f>
        <v>0</v>
      </c>
      <c r="M81" s="553">
        <f>'Inc &amp; Exp'!L30</f>
        <v>0</v>
      </c>
      <c r="O81" s="488"/>
      <c r="P81" s="486"/>
      <c r="Q81" s="486"/>
      <c r="R81" s="486"/>
      <c r="S81" s="487"/>
    </row>
    <row r="82" spans="2:19" x14ac:dyDescent="0.25">
      <c r="B82" s="1200" t="s">
        <v>16</v>
      </c>
      <c r="C82" s="1201"/>
      <c r="D82" s="1201"/>
      <c r="E82" s="1201"/>
      <c r="F82" s="1202"/>
      <c r="G82" s="338"/>
      <c r="H82" s="518">
        <f>'Inc &amp; Exp'!G31</f>
        <v>0</v>
      </c>
      <c r="I82" s="519">
        <f t="shared" si="12"/>
        <v>0</v>
      </c>
      <c r="J82" s="538">
        <f>'Inc &amp; Exp'!I31</f>
        <v>0</v>
      </c>
      <c r="K82" s="551">
        <f>'Inc &amp; Exp'!J31</f>
        <v>0</v>
      </c>
      <c r="L82" s="552">
        <f>'Inc &amp; Exp'!K31</f>
        <v>0</v>
      </c>
      <c r="M82" s="553">
        <f>'Inc &amp; Exp'!L31</f>
        <v>0</v>
      </c>
      <c r="O82" s="488"/>
      <c r="P82" s="486"/>
      <c r="Q82" s="486"/>
      <c r="R82" s="486"/>
      <c r="S82" s="487"/>
    </row>
    <row r="83" spans="2:19" x14ac:dyDescent="0.25">
      <c r="B83" s="1200" t="s">
        <v>17</v>
      </c>
      <c r="C83" s="1201"/>
      <c r="D83" s="1201"/>
      <c r="E83" s="1201"/>
      <c r="F83" s="1202"/>
      <c r="G83" s="338"/>
      <c r="H83" s="518">
        <f>'Inc &amp; Exp'!G32</f>
        <v>0</v>
      </c>
      <c r="I83" s="519">
        <f t="shared" si="12"/>
        <v>0</v>
      </c>
      <c r="J83" s="538">
        <f>'Inc &amp; Exp'!I32</f>
        <v>0</v>
      </c>
      <c r="K83" s="551">
        <f>'Inc &amp; Exp'!J32</f>
        <v>0</v>
      </c>
      <c r="L83" s="552">
        <f>'Inc &amp; Exp'!K32</f>
        <v>0</v>
      </c>
      <c r="M83" s="553">
        <f>'Inc &amp; Exp'!L32</f>
        <v>0</v>
      </c>
      <c r="O83" s="488"/>
      <c r="P83" s="486"/>
      <c r="Q83" s="486"/>
      <c r="R83" s="486"/>
      <c r="S83" s="487"/>
    </row>
    <row r="84" spans="2:19" x14ac:dyDescent="0.25">
      <c r="B84" s="1200" t="s">
        <v>18</v>
      </c>
      <c r="C84" s="1201"/>
      <c r="D84" s="1201"/>
      <c r="E84" s="1201"/>
      <c r="F84" s="1202"/>
      <c r="G84" s="338"/>
      <c r="H84" s="518">
        <f>'Inc &amp; Exp'!G33</f>
        <v>0</v>
      </c>
      <c r="I84" s="519">
        <f t="shared" si="12"/>
        <v>0</v>
      </c>
      <c r="J84" s="538">
        <f>'Inc &amp; Exp'!I33</f>
        <v>0</v>
      </c>
      <c r="K84" s="551">
        <f>'Inc &amp; Exp'!J33</f>
        <v>0</v>
      </c>
      <c r="L84" s="552">
        <f>'Inc &amp; Exp'!K33</f>
        <v>0</v>
      </c>
      <c r="M84" s="553">
        <f>'Inc &amp; Exp'!L33</f>
        <v>0</v>
      </c>
      <c r="O84" s="488"/>
      <c r="P84" s="486"/>
      <c r="Q84" s="486"/>
      <c r="R84" s="486"/>
      <c r="S84" s="487"/>
    </row>
    <row r="85" spans="2:19" x14ac:dyDescent="0.25">
      <c r="B85" s="1200" t="s">
        <v>19</v>
      </c>
      <c r="C85" s="1201"/>
      <c r="D85" s="1201"/>
      <c r="E85" s="1201"/>
      <c r="F85" s="1202"/>
      <c r="G85" s="338"/>
      <c r="H85" s="518">
        <f>'Inc &amp; Exp'!G34</f>
        <v>0</v>
      </c>
      <c r="I85" s="519">
        <f t="shared" si="12"/>
        <v>0</v>
      </c>
      <c r="J85" s="538">
        <f>'Inc &amp; Exp'!I34</f>
        <v>0</v>
      </c>
      <c r="K85" s="551">
        <f>'Inc &amp; Exp'!J34</f>
        <v>0</v>
      </c>
      <c r="L85" s="552">
        <f>'Inc &amp; Exp'!K34</f>
        <v>0</v>
      </c>
      <c r="M85" s="553">
        <f>'Inc &amp; Exp'!L34</f>
        <v>0</v>
      </c>
      <c r="O85" s="488"/>
      <c r="P85" s="486"/>
      <c r="Q85" s="486"/>
      <c r="R85" s="486"/>
      <c r="S85" s="487"/>
    </row>
    <row r="86" spans="2:19" ht="15.75" thickBot="1" x14ac:dyDescent="0.3">
      <c r="B86" s="1217" t="s">
        <v>20</v>
      </c>
      <c r="C86" s="1218"/>
      <c r="D86" s="1218"/>
      <c r="E86" s="1218"/>
      <c r="F86" s="1219"/>
      <c r="G86" s="339"/>
      <c r="H86" s="521">
        <f>'Inc &amp; Exp'!G35</f>
        <v>0</v>
      </c>
      <c r="I86" s="522">
        <f t="shared" si="12"/>
        <v>0</v>
      </c>
      <c r="J86" s="539">
        <f>'Inc &amp; Exp'!I35</f>
        <v>0</v>
      </c>
      <c r="K86" s="554">
        <f>'Inc &amp; Exp'!J35</f>
        <v>0</v>
      </c>
      <c r="L86" s="555">
        <f>'Inc &amp; Exp'!K35</f>
        <v>0</v>
      </c>
      <c r="M86" s="556">
        <f>'Inc &amp; Exp'!L35</f>
        <v>0</v>
      </c>
      <c r="O86" s="488"/>
      <c r="P86" s="486"/>
      <c r="Q86" s="486"/>
      <c r="R86" s="486"/>
      <c r="S86" s="487"/>
    </row>
    <row r="87" spans="2:19" x14ac:dyDescent="0.25">
      <c r="B87" s="1243" t="s">
        <v>21</v>
      </c>
      <c r="C87" s="1244"/>
      <c r="D87" s="1244"/>
      <c r="E87" s="1244"/>
      <c r="F87" s="1245"/>
      <c r="G87" s="340"/>
      <c r="H87" s="527">
        <f t="shared" ref="H87:M87" si="13">SUM(H81:H86)</f>
        <v>0</v>
      </c>
      <c r="I87" s="528">
        <f t="shared" si="13"/>
        <v>0</v>
      </c>
      <c r="J87" s="540">
        <f t="shared" si="13"/>
        <v>0</v>
      </c>
      <c r="K87" s="530">
        <f t="shared" si="13"/>
        <v>0</v>
      </c>
      <c r="L87" s="531">
        <f t="shared" si="13"/>
        <v>0</v>
      </c>
      <c r="M87" s="532">
        <f t="shared" si="13"/>
        <v>0</v>
      </c>
      <c r="O87" s="488"/>
      <c r="P87" s="486"/>
      <c r="Q87" s="486"/>
      <c r="R87" s="486"/>
      <c r="S87" s="487"/>
    </row>
    <row r="88" spans="2:19" ht="15.75" thickBot="1" x14ac:dyDescent="0.3">
      <c r="B88" s="1200"/>
      <c r="C88" s="1201"/>
      <c r="D88" s="1201"/>
      <c r="E88" s="1201"/>
      <c r="F88" s="1202"/>
      <c r="G88" s="338"/>
      <c r="H88" s="518"/>
      <c r="I88" s="519"/>
      <c r="J88" s="538"/>
      <c r="K88" s="516"/>
      <c r="L88" s="517"/>
      <c r="M88" s="515"/>
      <c r="O88" s="488"/>
      <c r="P88" s="486"/>
      <c r="Q88" s="486"/>
      <c r="R88" s="486"/>
      <c r="S88" s="487"/>
    </row>
    <row r="89" spans="2:19" ht="15.75" thickBot="1" x14ac:dyDescent="0.3">
      <c r="B89" s="1200" t="s">
        <v>22</v>
      </c>
      <c r="C89" s="1201"/>
      <c r="D89" s="1201"/>
      <c r="E89" s="1201"/>
      <c r="F89" s="1202"/>
      <c r="G89" s="338"/>
      <c r="H89" s="518">
        <f>'Inc &amp; Exp'!G38</f>
        <v>0</v>
      </c>
      <c r="I89" s="519">
        <f t="shared" ref="I89:I91" si="14">IF($G$58&gt;0,H89/$G$58,)</f>
        <v>0</v>
      </c>
      <c r="J89" s="538">
        <f>'Inc &amp; Exp'!I38</f>
        <v>0</v>
      </c>
      <c r="K89" s="551">
        <f>'Inc &amp; Exp'!J38</f>
        <v>0</v>
      </c>
      <c r="L89" s="557">
        <f>'Inc &amp; Exp'!K38</f>
        <v>0</v>
      </c>
      <c r="M89" s="553">
        <f>'Inc &amp; Exp'!L38</f>
        <v>0</v>
      </c>
      <c r="O89" s="503">
        <f>'Inc &amp; Exp'!AJ45</f>
        <v>0</v>
      </c>
      <c r="P89" s="493" t="s">
        <v>496</v>
      </c>
      <c r="Q89" s="493"/>
      <c r="R89" s="493"/>
      <c r="S89" s="494"/>
    </row>
    <row r="90" spans="2:19" x14ac:dyDescent="0.25">
      <c r="B90" s="1236" t="s">
        <v>98</v>
      </c>
      <c r="C90" s="1201"/>
      <c r="D90" s="1201"/>
      <c r="E90" s="1201"/>
      <c r="F90" s="1202"/>
      <c r="G90" s="338"/>
      <c r="H90" s="518">
        <f>'Inc &amp; Exp'!G39</f>
        <v>0</v>
      </c>
      <c r="I90" s="519">
        <f t="shared" si="14"/>
        <v>0</v>
      </c>
      <c r="J90" s="538">
        <f>'Inc &amp; Exp'!I39</f>
        <v>0</v>
      </c>
      <c r="K90" s="551">
        <f>'Inc &amp; Exp'!J39</f>
        <v>0</v>
      </c>
      <c r="L90" s="552">
        <f>'Inc &amp; Exp'!K39</f>
        <v>0</v>
      </c>
      <c r="M90" s="553">
        <f>'Inc &amp; Exp'!L39</f>
        <v>0</v>
      </c>
      <c r="O90" s="488"/>
      <c r="P90" s="486"/>
      <c r="Q90" s="486"/>
      <c r="R90" s="486"/>
      <c r="S90" s="487"/>
    </row>
    <row r="91" spans="2:19" ht="15.75" thickBot="1" x14ac:dyDescent="0.3">
      <c r="B91" s="1217" t="s">
        <v>13</v>
      </c>
      <c r="C91" s="1218"/>
      <c r="D91" s="1218"/>
      <c r="E91" s="1218"/>
      <c r="F91" s="1219"/>
      <c r="G91" s="339"/>
      <c r="H91" s="521">
        <f>'Inc &amp; Exp'!G40</f>
        <v>0</v>
      </c>
      <c r="I91" s="522">
        <f t="shared" si="14"/>
        <v>0</v>
      </c>
      <c r="J91" s="539">
        <f>'Inc &amp; Exp'!I40</f>
        <v>0</v>
      </c>
      <c r="K91" s="554">
        <f>'Inc &amp; Exp'!J40</f>
        <v>0</v>
      </c>
      <c r="L91" s="558">
        <f>'Inc &amp; Exp'!K40</f>
        <v>0</v>
      </c>
      <c r="M91" s="556">
        <f>'Inc &amp; Exp'!L40</f>
        <v>0</v>
      </c>
      <c r="O91" s="488"/>
      <c r="P91" s="486"/>
      <c r="Q91" s="486"/>
      <c r="R91" s="486"/>
      <c r="S91" s="487"/>
    </row>
    <row r="92" spans="2:19" x14ac:dyDescent="0.25">
      <c r="B92" s="1240" t="s">
        <v>32</v>
      </c>
      <c r="C92" s="1241"/>
      <c r="D92" s="1241"/>
      <c r="E92" s="1241"/>
      <c r="F92" s="1242"/>
      <c r="G92" s="340"/>
      <c r="H92" s="527">
        <f t="shared" ref="H92:M92" si="15">SUM(H87,H89:H91)</f>
        <v>0</v>
      </c>
      <c r="I92" s="528">
        <f t="shared" si="15"/>
        <v>0</v>
      </c>
      <c r="J92" s="540">
        <f t="shared" si="15"/>
        <v>0</v>
      </c>
      <c r="K92" s="530">
        <f t="shared" si="15"/>
        <v>0</v>
      </c>
      <c r="L92" s="531">
        <f t="shared" si="15"/>
        <v>0</v>
      </c>
      <c r="M92" s="532">
        <f t="shared" si="15"/>
        <v>0</v>
      </c>
      <c r="O92" s="491"/>
      <c r="P92" s="492"/>
      <c r="Q92" s="492"/>
      <c r="R92" s="492"/>
      <c r="S92" s="487"/>
    </row>
    <row r="93" spans="2:19" ht="15.75" thickBot="1" x14ac:dyDescent="0.3">
      <c r="B93" s="1217"/>
      <c r="C93" s="1218"/>
      <c r="D93" s="1218"/>
      <c r="E93" s="1218"/>
      <c r="F93" s="1219"/>
      <c r="G93" s="339"/>
      <c r="H93" s="521"/>
      <c r="I93" s="522"/>
      <c r="J93" s="539"/>
      <c r="K93" s="524"/>
      <c r="L93" s="525"/>
      <c r="M93" s="526"/>
      <c r="O93" s="488"/>
      <c r="P93" s="486"/>
      <c r="Q93" s="486"/>
      <c r="R93" s="486"/>
      <c r="S93" s="487"/>
    </row>
    <row r="94" spans="2:19" x14ac:dyDescent="0.25">
      <c r="B94" s="1240" t="s">
        <v>33</v>
      </c>
      <c r="C94" s="1241"/>
      <c r="D94" s="1241"/>
      <c r="E94" s="1241"/>
      <c r="F94" s="1242"/>
      <c r="G94" s="340"/>
      <c r="H94" s="527">
        <f t="shared" ref="H94:M94" si="16">H78-H92</f>
        <v>0</v>
      </c>
      <c r="I94" s="528">
        <f t="shared" si="16"/>
        <v>0</v>
      </c>
      <c r="J94" s="540">
        <f t="shared" si="16"/>
        <v>0</v>
      </c>
      <c r="K94" s="530">
        <f t="shared" si="16"/>
        <v>0</v>
      </c>
      <c r="L94" s="531">
        <f t="shared" si="16"/>
        <v>0</v>
      </c>
      <c r="M94" s="532">
        <f t="shared" si="16"/>
        <v>0</v>
      </c>
      <c r="O94" s="491"/>
      <c r="P94" s="492"/>
      <c r="Q94" s="492"/>
      <c r="R94" s="492"/>
      <c r="S94" s="487"/>
    </row>
    <row r="95" spans="2:19" ht="15.75" thickBot="1" x14ac:dyDescent="0.3">
      <c r="B95" s="1217" t="s">
        <v>45</v>
      </c>
      <c r="C95" s="1218"/>
      <c r="D95" s="1218"/>
      <c r="E95" s="1218"/>
      <c r="F95" s="1219"/>
      <c r="G95" s="339"/>
      <c r="H95" s="521">
        <f>'Inc &amp; Exp'!G44</f>
        <v>0</v>
      </c>
      <c r="I95" s="519">
        <f t="shared" ref="I95" si="17">IF($G$58&gt;0,H95/$G$58,)</f>
        <v>0</v>
      </c>
      <c r="J95" s="539">
        <f>'Inc &amp; Exp'!I44</f>
        <v>0</v>
      </c>
      <c r="K95" s="524">
        <f>'Inc &amp; Exp'!J44</f>
        <v>0</v>
      </c>
      <c r="L95" s="525">
        <f>'Inc &amp; Exp'!K44</f>
        <v>0</v>
      </c>
      <c r="M95" s="526">
        <f>'Inc &amp; Exp'!L44</f>
        <v>0</v>
      </c>
      <c r="O95" s="488"/>
      <c r="P95" s="486"/>
      <c r="Q95" s="486"/>
      <c r="R95" s="486"/>
      <c r="S95" s="487"/>
    </row>
    <row r="96" spans="2:19" ht="13.5" customHeight="1" thickBot="1" x14ac:dyDescent="0.3">
      <c r="B96" s="330" t="s">
        <v>107</v>
      </c>
      <c r="C96" s="331"/>
      <c r="D96" s="331"/>
      <c r="E96" s="331"/>
      <c r="F96" s="331"/>
      <c r="G96" s="331"/>
      <c r="H96" s="559"/>
      <c r="I96" s="559"/>
      <c r="J96" s="560"/>
      <c r="K96" s="559"/>
      <c r="L96" s="559"/>
      <c r="M96" s="559"/>
      <c r="O96" s="488"/>
      <c r="P96" s="486"/>
      <c r="Q96" s="486"/>
      <c r="R96" s="486"/>
      <c r="S96" s="487"/>
    </row>
    <row r="97" spans="2:19" x14ac:dyDescent="0.25">
      <c r="B97" s="1252" t="s">
        <v>6</v>
      </c>
      <c r="C97" s="1253"/>
      <c r="D97" s="1253"/>
      <c r="E97" s="1253"/>
      <c r="F97" s="1254"/>
      <c r="G97" s="347"/>
      <c r="H97" s="348" t="s">
        <v>34</v>
      </c>
      <c r="I97" s="561"/>
      <c r="J97" s="349" t="str">
        <f>J56</f>
        <v>Appraisal</v>
      </c>
      <c r="K97" s="350">
        <f>K56</f>
        <v>0</v>
      </c>
      <c r="L97" s="351">
        <f t="shared" ref="L97:M97" si="18">L56</f>
        <v>0</v>
      </c>
      <c r="M97" s="352">
        <f t="shared" si="18"/>
        <v>0</v>
      </c>
      <c r="O97" s="488"/>
      <c r="P97" s="486"/>
      <c r="Q97" s="486"/>
      <c r="R97" s="486"/>
      <c r="S97" s="487"/>
    </row>
    <row r="98" spans="2:19" x14ac:dyDescent="0.25">
      <c r="B98" s="1190"/>
      <c r="C98" s="1191"/>
      <c r="D98" s="1191"/>
      <c r="E98" s="1191"/>
      <c r="F98" s="1230"/>
      <c r="G98" s="337"/>
      <c r="H98" s="353">
        <f>G57</f>
        <v>0</v>
      </c>
      <c r="I98" s="509"/>
      <c r="J98" s="354">
        <f>J57</f>
        <v>0</v>
      </c>
      <c r="K98" s="355">
        <f>K57</f>
        <v>0</v>
      </c>
      <c r="L98" s="356">
        <f>L57</f>
        <v>0</v>
      </c>
      <c r="M98" s="357">
        <f>M57</f>
        <v>0</v>
      </c>
      <c r="O98" s="488"/>
      <c r="P98" s="486"/>
      <c r="Q98" s="486"/>
      <c r="R98" s="486"/>
      <c r="S98" s="487"/>
    </row>
    <row r="99" spans="2:19" x14ac:dyDescent="0.25">
      <c r="B99" s="1200" t="s">
        <v>46</v>
      </c>
      <c r="C99" s="1201"/>
      <c r="D99" s="1201"/>
      <c r="E99" s="1201"/>
      <c r="F99" s="1202"/>
      <c r="G99" s="358"/>
      <c r="H99" s="562">
        <f>'Inc &amp; Exp'!G48</f>
        <v>0</v>
      </c>
      <c r="I99" s="563"/>
      <c r="J99" s="564">
        <f>'Inc &amp; Exp'!I48</f>
        <v>0</v>
      </c>
      <c r="K99" s="565">
        <f>'Inc &amp; Exp'!J48</f>
        <v>0</v>
      </c>
      <c r="L99" s="562">
        <f>'Inc &amp; Exp'!K48</f>
        <v>0</v>
      </c>
      <c r="M99" s="563">
        <f>'Inc &amp; Exp'!L48</f>
        <v>0</v>
      </c>
      <c r="O99" s="488"/>
      <c r="P99" s="486"/>
      <c r="Q99" s="486"/>
      <c r="R99" s="486"/>
      <c r="S99" s="487"/>
    </row>
    <row r="100" spans="2:19" x14ac:dyDescent="0.25">
      <c r="B100" s="1200" t="s">
        <v>47</v>
      </c>
      <c r="C100" s="1201"/>
      <c r="D100" s="1201"/>
      <c r="E100" s="1201"/>
      <c r="F100" s="1202"/>
      <c r="G100" s="358"/>
      <c r="H100" s="562">
        <f>'Inc &amp; Exp'!G49</f>
        <v>0</v>
      </c>
      <c r="I100" s="563"/>
      <c r="J100" s="564">
        <f>'Inc &amp; Exp'!I49</f>
        <v>0</v>
      </c>
      <c r="K100" s="565">
        <f>'Inc &amp; Exp'!J49</f>
        <v>0</v>
      </c>
      <c r="L100" s="562">
        <f>'Inc &amp; Exp'!K49</f>
        <v>0</v>
      </c>
      <c r="M100" s="563">
        <f>'Inc &amp; Exp'!L49</f>
        <v>0</v>
      </c>
      <c r="O100" s="488"/>
      <c r="P100" s="486"/>
      <c r="Q100" s="486"/>
      <c r="R100" s="486"/>
      <c r="S100" s="487"/>
    </row>
    <row r="101" spans="2:19" x14ac:dyDescent="0.25">
      <c r="B101" s="1200" t="s">
        <v>48</v>
      </c>
      <c r="C101" s="1201"/>
      <c r="D101" s="1201"/>
      <c r="E101" s="1201"/>
      <c r="F101" s="1202"/>
      <c r="G101" s="358"/>
      <c r="H101" s="562">
        <f>'Inc &amp; Exp'!G50</f>
        <v>0</v>
      </c>
      <c r="I101" s="563"/>
      <c r="J101" s="564">
        <f>'Inc &amp; Exp'!I50</f>
        <v>0</v>
      </c>
      <c r="K101" s="565">
        <f>'Inc &amp; Exp'!J50</f>
        <v>0</v>
      </c>
      <c r="L101" s="562">
        <f>'Inc &amp; Exp'!K50</f>
        <v>0</v>
      </c>
      <c r="M101" s="563">
        <f>'Inc &amp; Exp'!L50</f>
        <v>0</v>
      </c>
      <c r="O101" s="488"/>
      <c r="P101" s="486"/>
      <c r="Q101" s="486"/>
      <c r="R101" s="486"/>
      <c r="S101" s="487"/>
    </row>
    <row r="102" spans="2:19" ht="15.75" thickBot="1" x14ac:dyDescent="0.3">
      <c r="B102" s="1217" t="s">
        <v>66</v>
      </c>
      <c r="C102" s="1218"/>
      <c r="D102" s="1218"/>
      <c r="E102" s="1218"/>
      <c r="F102" s="1219"/>
      <c r="G102" s="428"/>
      <c r="H102" s="429">
        <f>'Inc &amp; Exp'!G51</f>
        <v>0</v>
      </c>
      <c r="I102" s="430"/>
      <c r="J102" s="431">
        <f>'Inc &amp; Exp'!I51</f>
        <v>0</v>
      </c>
      <c r="K102" s="432">
        <f>'Inc &amp; Exp'!J51</f>
        <v>0</v>
      </c>
      <c r="L102" s="429">
        <f>'Inc &amp; Exp'!K51</f>
        <v>0</v>
      </c>
      <c r="M102" s="430">
        <f>'Inc &amp; Exp'!L51</f>
        <v>0</v>
      </c>
      <c r="O102" s="488"/>
      <c r="P102" s="486"/>
      <c r="Q102" s="486"/>
      <c r="R102" s="486"/>
      <c r="S102" s="487"/>
    </row>
    <row r="103" spans="2:19" ht="15.75" thickBot="1" x14ac:dyDescent="0.3">
      <c r="B103" s="433"/>
      <c r="C103" s="433"/>
      <c r="D103" s="433"/>
      <c r="E103" s="433"/>
      <c r="F103" s="433"/>
      <c r="G103" s="434"/>
      <c r="H103" s="435"/>
      <c r="I103" s="434"/>
      <c r="J103" s="435"/>
      <c r="K103" s="434"/>
      <c r="L103" s="434"/>
      <c r="M103" s="434"/>
      <c r="O103" s="488"/>
      <c r="P103" s="486"/>
      <c r="Q103" s="486"/>
      <c r="R103" s="486"/>
      <c r="S103" s="487"/>
    </row>
    <row r="104" spans="2:19" ht="15.75" thickBot="1" x14ac:dyDescent="0.3">
      <c r="B104" s="1233" t="s">
        <v>100</v>
      </c>
      <c r="C104" s="1234"/>
      <c r="D104" s="1234"/>
      <c r="E104" s="1234"/>
      <c r="F104" s="1234"/>
      <c r="G104" s="1234"/>
      <c r="H104" s="1234"/>
      <c r="I104" s="1234"/>
      <c r="J104" s="1234"/>
      <c r="K104" s="1234"/>
      <c r="L104" s="1234"/>
      <c r="M104" s="1235"/>
      <c r="O104" s="488"/>
      <c r="P104" s="486"/>
      <c r="Q104" s="486"/>
      <c r="R104" s="486"/>
      <c r="S104" s="487"/>
    </row>
    <row r="105" spans="2:19" x14ac:dyDescent="0.25">
      <c r="B105" s="1267" t="s">
        <v>266</v>
      </c>
      <c r="C105" s="1268"/>
      <c r="D105" s="1268"/>
      <c r="E105" s="1268"/>
      <c r="F105" s="1268"/>
      <c r="G105" s="1269"/>
      <c r="H105" s="1267" t="s">
        <v>267</v>
      </c>
      <c r="I105" s="1268"/>
      <c r="J105" s="1268"/>
      <c r="K105" s="1268"/>
      <c r="L105" s="1268"/>
      <c r="M105" s="1269"/>
      <c r="O105" s="488"/>
      <c r="P105" s="486"/>
      <c r="Q105" s="486"/>
      <c r="R105" s="486"/>
      <c r="S105" s="487"/>
    </row>
    <row r="106" spans="2:19" x14ac:dyDescent="0.25">
      <c r="B106" s="1214"/>
      <c r="C106" s="1215"/>
      <c r="D106" s="1215"/>
      <c r="E106" s="1215"/>
      <c r="F106" s="1216"/>
      <c r="G106" s="21" t="str">
        <f>'Sources &amp; Loan Sizing'!G34</f>
        <v>Year 1</v>
      </c>
      <c r="H106" s="1203"/>
      <c r="I106" s="1193"/>
      <c r="J106" s="1193"/>
      <c r="K106" s="1193"/>
      <c r="L106" s="22" t="str">
        <f>'Sources &amp; Loan Sizing'!M34</f>
        <v>Year 1</v>
      </c>
      <c r="M106" s="23" t="str">
        <f>'Sources &amp; Loan Sizing'!N34</f>
        <v>Year 15</v>
      </c>
      <c r="O106" s="488"/>
      <c r="P106" s="486"/>
      <c r="Q106" s="486"/>
      <c r="R106" s="486"/>
      <c r="S106" s="487"/>
    </row>
    <row r="107" spans="2:19" x14ac:dyDescent="0.25">
      <c r="B107" s="1196" t="s">
        <v>33</v>
      </c>
      <c r="C107" s="1206"/>
      <c r="D107" s="1206"/>
      <c r="E107" s="1206"/>
      <c r="F107" s="1207"/>
      <c r="G107" s="24">
        <f>'Sources &amp; Loan Sizing'!G35</f>
        <v>0</v>
      </c>
      <c r="H107" s="1270" t="s">
        <v>33</v>
      </c>
      <c r="I107" s="1195"/>
      <c r="J107" s="1195"/>
      <c r="K107" s="1195"/>
      <c r="L107" s="25">
        <f>'Sources &amp; Loan Sizing'!M35</f>
        <v>0</v>
      </c>
      <c r="M107" s="24">
        <f>'Sources &amp; Loan Sizing'!N35</f>
        <v>0</v>
      </c>
      <c r="O107" s="488"/>
      <c r="P107" s="486"/>
      <c r="Q107" s="486"/>
      <c r="R107" s="486"/>
      <c r="S107" s="487"/>
    </row>
    <row r="108" spans="2:19" x14ac:dyDescent="0.25">
      <c r="B108" s="1213" t="s">
        <v>55</v>
      </c>
      <c r="C108" s="1206"/>
      <c r="D108" s="1206"/>
      <c r="E108" s="1206"/>
      <c r="F108" s="1207"/>
      <c r="G108" s="444">
        <f>'Sources &amp; Loan Sizing'!G36</f>
        <v>7.0000000000000007E-2</v>
      </c>
      <c r="H108" s="1266" t="s">
        <v>58</v>
      </c>
      <c r="I108" s="1195"/>
      <c r="J108" s="1195"/>
      <c r="K108" s="1195"/>
      <c r="L108" s="445">
        <f>'Sources &amp; Loan Sizing'!M36</f>
        <v>1.2</v>
      </c>
      <c r="M108" s="446">
        <f>'Sources &amp; Loan Sizing'!N36</f>
        <v>1.1000000000000001</v>
      </c>
      <c r="O108" s="488"/>
      <c r="P108" s="486"/>
      <c r="Q108" s="486"/>
      <c r="R108" s="486"/>
      <c r="S108" s="487"/>
    </row>
    <row r="109" spans="2:19" x14ac:dyDescent="0.25">
      <c r="B109" s="191" t="s">
        <v>110</v>
      </c>
      <c r="C109" s="192"/>
      <c r="D109" s="192"/>
      <c r="E109" s="192"/>
      <c r="F109" s="193"/>
      <c r="G109" s="447">
        <f>'Sources &amp; Loan Sizing'!G37</f>
        <v>0</v>
      </c>
      <c r="H109" s="1213" t="s">
        <v>50</v>
      </c>
      <c r="I109" s="1206"/>
      <c r="J109" s="1206"/>
      <c r="K109" s="1207"/>
      <c r="L109" s="25">
        <f>'Sources &amp; Loan Sizing'!M37</f>
        <v>0</v>
      </c>
      <c r="M109" s="24">
        <f>'Sources &amp; Loan Sizing'!N37</f>
        <v>0</v>
      </c>
      <c r="O109" s="488"/>
      <c r="P109" s="486"/>
      <c r="Q109" s="486"/>
      <c r="R109" s="486"/>
      <c r="S109" s="487"/>
    </row>
    <row r="110" spans="2:19" x14ac:dyDescent="0.25">
      <c r="B110" s="304" t="s">
        <v>600</v>
      </c>
      <c r="C110" s="319"/>
      <c r="D110" s="319"/>
      <c r="E110" s="319"/>
      <c r="F110" s="320"/>
      <c r="G110" s="448">
        <f>'Sources &amp; Loan Sizing'!G38</f>
        <v>0</v>
      </c>
      <c r="H110" s="1213" t="s">
        <v>59</v>
      </c>
      <c r="I110" s="1206"/>
      <c r="J110" s="1206"/>
      <c r="K110" s="1207"/>
      <c r="L110" s="26"/>
      <c r="M110" s="24">
        <f>'Sources &amp; Loan Sizing'!N38</f>
        <v>0</v>
      </c>
      <c r="O110" s="488"/>
      <c r="P110" s="486"/>
      <c r="Q110" s="486"/>
      <c r="R110" s="486"/>
      <c r="S110" s="487"/>
    </row>
    <row r="111" spans="2:19" x14ac:dyDescent="0.25">
      <c r="B111" s="304" t="s">
        <v>601</v>
      </c>
      <c r="C111" s="319"/>
      <c r="D111" s="319"/>
      <c r="E111" s="319"/>
      <c r="F111" s="320"/>
      <c r="G111" s="448">
        <f>'Sources &amp; Loan Sizing'!G39</f>
        <v>0</v>
      </c>
      <c r="H111" s="1213" t="s">
        <v>60</v>
      </c>
      <c r="I111" s="1206"/>
      <c r="J111" s="1206"/>
      <c r="K111" s="1207"/>
      <c r="L111" s="26"/>
      <c r="M111" s="449">
        <f>'Sources &amp; Loan Sizing'!N39</f>
        <v>7.0000000000000007E-2</v>
      </c>
      <c r="O111" s="488"/>
      <c r="P111" s="486"/>
      <c r="Q111" s="486"/>
      <c r="R111" s="486"/>
      <c r="S111" s="487"/>
    </row>
    <row r="112" spans="2:19" x14ac:dyDescent="0.25">
      <c r="B112" s="318" t="s">
        <v>272</v>
      </c>
      <c r="C112" s="179"/>
      <c r="D112" s="179"/>
      <c r="E112" s="179"/>
      <c r="F112" s="180"/>
      <c r="G112" s="438">
        <f>'Sources &amp; Loan Sizing'!G40</f>
        <v>0</v>
      </c>
      <c r="H112" s="190"/>
      <c r="M112" s="207"/>
      <c r="O112" s="488"/>
      <c r="P112" s="486"/>
      <c r="Q112" s="486"/>
      <c r="R112" s="486"/>
      <c r="S112" s="487"/>
    </row>
    <row r="113" spans="2:19" x14ac:dyDescent="0.25">
      <c r="B113" s="304" t="s">
        <v>270</v>
      </c>
      <c r="C113" s="319"/>
      <c r="D113" s="319"/>
      <c r="E113" s="319"/>
      <c r="F113" s="320"/>
      <c r="G113" s="444">
        <v>0.8</v>
      </c>
      <c r="H113" s="1266" t="s">
        <v>61</v>
      </c>
      <c r="I113" s="1195"/>
      <c r="J113" s="1195"/>
      <c r="K113" s="1195"/>
      <c r="L113" s="26"/>
      <c r="M113" s="450">
        <f>'Sources &amp; Loan Sizing'!N41</f>
        <v>30</v>
      </c>
      <c r="O113" s="488"/>
      <c r="P113" s="486"/>
      <c r="Q113" s="486"/>
      <c r="R113" s="486"/>
      <c r="S113" s="487"/>
    </row>
    <row r="114" spans="2:19" ht="15.75" thickBot="1" x14ac:dyDescent="0.3">
      <c r="B114" s="327" t="s">
        <v>90</v>
      </c>
      <c r="C114" s="324"/>
      <c r="D114" s="324"/>
      <c r="E114" s="324"/>
      <c r="F114" s="325"/>
      <c r="G114" s="451">
        <f>G112*G113</f>
        <v>0</v>
      </c>
      <c r="H114" s="1228" t="s">
        <v>265</v>
      </c>
      <c r="I114" s="1229"/>
      <c r="J114" s="1229"/>
      <c r="K114" s="1229"/>
      <c r="L114" s="323"/>
      <c r="M114" s="451">
        <f>PV(M111/12,M113*12,-M110/12,,)</f>
        <v>0</v>
      </c>
      <c r="O114" s="488"/>
      <c r="P114" s="486"/>
      <c r="Q114" s="486"/>
      <c r="R114" s="486"/>
      <c r="S114" s="487"/>
    </row>
    <row r="115" spans="2:19" ht="15.75" thickBot="1" x14ac:dyDescent="0.3">
      <c r="O115" s="488"/>
      <c r="P115" s="486"/>
      <c r="Q115" s="486"/>
      <c r="R115" s="486"/>
      <c r="S115" s="487"/>
    </row>
    <row r="116" spans="2:19" ht="15.75" thickBot="1" x14ac:dyDescent="0.3">
      <c r="B116" s="1275" t="s">
        <v>299</v>
      </c>
      <c r="C116" s="1276"/>
      <c r="D116" s="1276"/>
      <c r="E116" s="1276"/>
      <c r="F116" s="1276"/>
      <c r="G116" s="1276"/>
      <c r="H116" s="1276"/>
      <c r="I116" s="1276"/>
      <c r="J116" s="1276"/>
      <c r="K116" s="1276"/>
      <c r="L116" s="1276"/>
      <c r="M116" s="1277"/>
      <c r="O116" s="488"/>
      <c r="P116" s="486"/>
      <c r="Q116" s="486"/>
      <c r="R116" s="486"/>
      <c r="S116" s="487"/>
    </row>
    <row r="117" spans="2:19" x14ac:dyDescent="0.25">
      <c r="B117" s="1278" t="s">
        <v>300</v>
      </c>
      <c r="C117" s="1279"/>
      <c r="D117" s="1279"/>
      <c r="E117" s="1279"/>
      <c r="F117" s="1279"/>
      <c r="G117" s="1279"/>
      <c r="H117" s="1279" t="s">
        <v>301</v>
      </c>
      <c r="I117" s="1279"/>
      <c r="J117" s="1279"/>
      <c r="K117" s="1279"/>
      <c r="L117" s="1279"/>
      <c r="M117" s="1280"/>
      <c r="O117" s="488"/>
      <c r="P117" s="486"/>
      <c r="Q117" s="486"/>
      <c r="R117" s="486"/>
      <c r="S117" s="487"/>
    </row>
    <row r="118" spans="2:19" x14ac:dyDescent="0.25">
      <c r="B118" s="1281"/>
      <c r="C118" s="1282"/>
      <c r="D118" s="1282"/>
      <c r="E118" s="1282"/>
      <c r="F118" s="1282"/>
      <c r="G118" s="22" t="str">
        <f>'Sources &amp; Loan Sizing'!G46</f>
        <v>Year 1</v>
      </c>
      <c r="H118" s="1193"/>
      <c r="I118" s="1193"/>
      <c r="J118" s="1193"/>
      <c r="K118" s="1193"/>
      <c r="L118" s="22" t="str">
        <f>'Sources &amp; Loan Sizing'!M46</f>
        <v>Year 1</v>
      </c>
      <c r="M118" s="23" t="str">
        <f>'Sources &amp; Loan Sizing'!N46</f>
        <v>Year 15</v>
      </c>
      <c r="O118" s="488"/>
      <c r="P118" s="486"/>
      <c r="Q118" s="486"/>
      <c r="R118" s="486"/>
      <c r="S118" s="487"/>
    </row>
    <row r="119" spans="2:19" x14ac:dyDescent="0.25">
      <c r="B119" s="1283" t="s">
        <v>606</v>
      </c>
      <c r="C119" s="1195"/>
      <c r="D119" s="1195"/>
      <c r="E119" s="1195"/>
      <c r="F119" s="1195"/>
      <c r="G119" s="452">
        <f>'Sources &amp; Loan Sizing'!G47</f>
        <v>0</v>
      </c>
      <c r="H119" s="1194" t="s">
        <v>304</v>
      </c>
      <c r="I119" s="1195"/>
      <c r="J119" s="1195"/>
      <c r="K119" s="1195"/>
      <c r="L119" s="25">
        <f>'Sources &amp; Loan Sizing'!M47</f>
        <v>0</v>
      </c>
      <c r="M119" s="24">
        <f>'Sources &amp; Loan Sizing'!N47</f>
        <v>0</v>
      </c>
      <c r="O119" s="488"/>
      <c r="P119" s="486"/>
      <c r="Q119" s="486"/>
      <c r="R119" s="486"/>
      <c r="S119" s="487"/>
    </row>
    <row r="120" spans="2:19" x14ac:dyDescent="0.25">
      <c r="B120" s="1270" t="s">
        <v>270</v>
      </c>
      <c r="C120" s="1195"/>
      <c r="D120" s="1195"/>
      <c r="E120" s="1195"/>
      <c r="F120" s="1195"/>
      <c r="G120" s="453">
        <f>'Sources &amp; Loan Sizing'!G48</f>
        <v>0.95</v>
      </c>
      <c r="H120" s="1195" t="s">
        <v>58</v>
      </c>
      <c r="I120" s="1195"/>
      <c r="J120" s="1195"/>
      <c r="K120" s="1195"/>
      <c r="L120" s="445">
        <f>'Sources &amp; Loan Sizing'!M48</f>
        <v>1.1000000000000001</v>
      </c>
      <c r="M120" s="446">
        <f>'Sources &amp; Loan Sizing'!N48</f>
        <v>1.05</v>
      </c>
      <c r="O120" s="488"/>
      <c r="P120" s="486"/>
      <c r="Q120" s="486"/>
      <c r="R120" s="486"/>
      <c r="S120" s="487"/>
    </row>
    <row r="121" spans="2:19" x14ac:dyDescent="0.25">
      <c r="B121" s="1190" t="s">
        <v>309</v>
      </c>
      <c r="C121" s="1191"/>
      <c r="D121" s="1191"/>
      <c r="E121" s="1191"/>
      <c r="F121" s="1192"/>
      <c r="G121" s="454">
        <f>G119*G120</f>
        <v>0</v>
      </c>
      <c r="H121" s="1199" t="s">
        <v>305</v>
      </c>
      <c r="I121" s="1195"/>
      <c r="J121" s="1195"/>
      <c r="K121" s="1195"/>
      <c r="L121" s="25">
        <f>L119/L120</f>
        <v>0</v>
      </c>
      <c r="M121" s="24">
        <f>M119/M120</f>
        <v>0</v>
      </c>
      <c r="O121" s="488"/>
      <c r="P121" s="486"/>
      <c r="Q121" s="486"/>
      <c r="R121" s="486"/>
      <c r="S121" s="487"/>
    </row>
    <row r="122" spans="2:19" x14ac:dyDescent="0.25">
      <c r="B122" s="1190" t="s">
        <v>303</v>
      </c>
      <c r="C122" s="1191"/>
      <c r="D122" s="1191"/>
      <c r="E122" s="1191"/>
      <c r="F122" s="1192"/>
      <c r="G122" s="454">
        <f>IF(J159&gt;0,J159,J160)+IF(K159&gt;0,K159,K160)</f>
        <v>0</v>
      </c>
      <c r="H122" s="1274" t="s">
        <v>59</v>
      </c>
      <c r="I122" s="1206"/>
      <c r="J122" s="1206"/>
      <c r="K122" s="1206"/>
      <c r="L122" s="1207"/>
      <c r="M122" s="24">
        <f>MIN(L121:M121)</f>
        <v>0</v>
      </c>
      <c r="O122" s="488"/>
      <c r="P122" s="486"/>
      <c r="Q122" s="486"/>
      <c r="R122" s="486"/>
      <c r="S122" s="487"/>
    </row>
    <row r="123" spans="2:19" x14ac:dyDescent="0.25">
      <c r="B123" s="1190" t="str">
        <f>IF('Sources &amp; Loan Sizing'!B51&lt;&gt;"",'Sources &amp; Loan Sizing'!B51,"")</f>
        <v/>
      </c>
      <c r="C123" s="1191">
        <f>'Sources &amp; Loan Sizing'!C51</f>
        <v>0</v>
      </c>
      <c r="D123" s="1191"/>
      <c r="E123" s="1191">
        <f>'Sources &amp; Loan Sizing'!E51</f>
        <v>0</v>
      </c>
      <c r="F123" s="1192">
        <f>'Sources &amp; Loan Sizing'!F51</f>
        <v>0</v>
      </c>
      <c r="G123" s="454" t="str">
        <f>IF('Sources &amp; Loan Sizing'!G51&lt;&gt;"",'Sources &amp; Loan Sizing'!G51,"")</f>
        <v/>
      </c>
      <c r="H123" s="1273" t="s">
        <v>306</v>
      </c>
      <c r="I123" s="1197"/>
      <c r="J123" s="1197"/>
      <c r="K123" s="1197"/>
      <c r="L123" s="1198"/>
      <c r="M123" s="24">
        <f>IF(J166&gt;0,J166,J165)+IF(K166&gt;0,K166,K165)</f>
        <v>0</v>
      </c>
      <c r="O123" s="488"/>
      <c r="P123" s="486"/>
      <c r="Q123" s="486"/>
      <c r="R123" s="486"/>
      <c r="S123" s="487"/>
    </row>
    <row r="124" spans="2:19" x14ac:dyDescent="0.25">
      <c r="B124" s="1190" t="str">
        <f>IF('Sources &amp; Loan Sizing'!B52&lt;&gt;"",'Sources &amp; Loan Sizing'!B52,"")</f>
        <v/>
      </c>
      <c r="C124" s="1191">
        <f>'Sources &amp; Loan Sizing'!C52</f>
        <v>0</v>
      </c>
      <c r="D124" s="1191"/>
      <c r="E124" s="1191">
        <f>'Sources &amp; Loan Sizing'!E52</f>
        <v>0</v>
      </c>
      <c r="F124" s="1192">
        <f>'Sources &amp; Loan Sizing'!F52</f>
        <v>0</v>
      </c>
      <c r="G124" s="454" t="str">
        <f>IF('Sources &amp; Loan Sizing'!G52&lt;&gt;"",'Sources &amp; Loan Sizing'!G52,"")</f>
        <v/>
      </c>
      <c r="H124" s="1273" t="str">
        <f>IF('Sources &amp; Loan Sizing'!H52&lt;&gt;"",'Sources &amp; Loan Sizing'!H52,"")</f>
        <v>Other senior debt service</v>
      </c>
      <c r="I124" s="1197" t="str">
        <f>IF('Sources &amp; Loan Sizing'!I52&lt;&gt;"",'Sources &amp; Loan Sizing'!I52,"")</f>
        <v/>
      </c>
      <c r="J124" s="1197" t="str">
        <f>IF('Sources &amp; Loan Sizing'!J52&lt;&gt;"",'Sources &amp; Loan Sizing'!J52,"")</f>
        <v/>
      </c>
      <c r="K124" s="1197" t="str">
        <f>IF('Sources &amp; Loan Sizing'!L52&lt;&gt;"",'Sources &amp; Loan Sizing'!L52,"")</f>
        <v/>
      </c>
      <c r="L124" s="1198" t="str">
        <f>IF('Sources &amp; Loan Sizing'!M52&lt;&gt;"",'Sources &amp; Loan Sizing'!M52,"")</f>
        <v/>
      </c>
      <c r="M124" s="24">
        <f>'Sources &amp; Loan Sizing'!N52</f>
        <v>0</v>
      </c>
      <c r="O124" s="488"/>
      <c r="P124" s="486"/>
      <c r="Q124" s="486"/>
      <c r="R124" s="486"/>
      <c r="S124" s="487"/>
    </row>
    <row r="125" spans="2:19" x14ac:dyDescent="0.25">
      <c r="B125" s="1190" t="str">
        <f>IF('Sources &amp; Loan Sizing'!B53&lt;&gt;"",'Sources &amp; Loan Sizing'!B53,"")</f>
        <v/>
      </c>
      <c r="C125" s="1191">
        <f>'Sources &amp; Loan Sizing'!C53</f>
        <v>0</v>
      </c>
      <c r="D125" s="1191"/>
      <c r="E125" s="1191">
        <f>'Sources &amp; Loan Sizing'!E53</f>
        <v>0</v>
      </c>
      <c r="F125" s="1192">
        <f>'Sources &amp; Loan Sizing'!F53</f>
        <v>0</v>
      </c>
      <c r="G125" s="454" t="str">
        <f>IF('Sources &amp; Loan Sizing'!G53&lt;&gt;"",'Sources &amp; Loan Sizing'!G53,"")</f>
        <v/>
      </c>
      <c r="H125" s="1273" t="s">
        <v>307</v>
      </c>
      <c r="I125" s="1197"/>
      <c r="J125" s="1197"/>
      <c r="K125" s="1197"/>
      <c r="L125" s="1198"/>
      <c r="M125" s="24">
        <f>M122-M123-M124</f>
        <v>0</v>
      </c>
      <c r="O125" s="488"/>
      <c r="P125" s="486"/>
      <c r="Q125" s="486"/>
      <c r="R125" s="486"/>
      <c r="S125" s="487"/>
    </row>
    <row r="126" spans="2:19" x14ac:dyDescent="0.25">
      <c r="B126" s="1271" t="str">
        <f>IF('Sources &amp; Loan Sizing'!B54&lt;&gt;"",'Sources &amp; Loan Sizing'!B54,"")</f>
        <v/>
      </c>
      <c r="C126" s="1272">
        <f>'Sources &amp; Loan Sizing'!C54</f>
        <v>0</v>
      </c>
      <c r="D126" s="1272"/>
      <c r="E126" s="1272">
        <f>'Sources &amp; Loan Sizing'!E54</f>
        <v>0</v>
      </c>
      <c r="F126" s="1272">
        <f>'Sources &amp; Loan Sizing'!F54</f>
        <v>0</v>
      </c>
      <c r="G126" s="52" t="str">
        <f>IF('Sources &amp; Loan Sizing'!G54&lt;&gt;"",'Sources &amp; Loan Sizing'!G54,"")</f>
        <v/>
      </c>
      <c r="H126" s="1274" t="s">
        <v>60</v>
      </c>
      <c r="I126" s="1206"/>
      <c r="J126" s="1206"/>
      <c r="K126" s="1206"/>
      <c r="L126" s="1207"/>
      <c r="M126" s="455">
        <f>'Sources &amp; Loan Sizing'!N54</f>
        <v>7.0000000000000007E-2</v>
      </c>
      <c r="O126" s="488"/>
      <c r="P126" s="486"/>
      <c r="Q126" s="486"/>
      <c r="R126" s="486"/>
      <c r="S126" s="487"/>
    </row>
    <row r="127" spans="2:19" x14ac:dyDescent="0.25">
      <c r="B127" s="1271" t="str">
        <f>IF('Sources &amp; Loan Sizing'!B55&lt;&gt;"",'Sources &amp; Loan Sizing'!B55,"")</f>
        <v/>
      </c>
      <c r="C127" s="1272">
        <f>'Sources &amp; Loan Sizing'!C55</f>
        <v>0</v>
      </c>
      <c r="D127" s="1272"/>
      <c r="E127" s="1272">
        <f>'Sources &amp; Loan Sizing'!E55</f>
        <v>0</v>
      </c>
      <c r="F127" s="1272">
        <f>'Sources &amp; Loan Sizing'!F55</f>
        <v>0</v>
      </c>
      <c r="G127" s="52" t="str">
        <f>IF('Sources &amp; Loan Sizing'!G55&lt;&gt;"",'Sources &amp; Loan Sizing'!G55,"")</f>
        <v/>
      </c>
      <c r="H127" s="1273" t="str">
        <f>IF(M127&gt;0,"Amortization (years)","Interest Only")</f>
        <v>Interest Only</v>
      </c>
      <c r="I127" s="1197"/>
      <c r="J127" s="1197"/>
      <c r="K127" s="1197"/>
      <c r="L127" s="1198"/>
      <c r="M127" s="450">
        <f>'Sources &amp; Loan Sizing'!N55</f>
        <v>0</v>
      </c>
      <c r="O127" s="488"/>
      <c r="P127" s="486"/>
      <c r="Q127" s="486"/>
      <c r="R127" s="486"/>
      <c r="S127" s="487"/>
    </row>
    <row r="128" spans="2:19" ht="15.75" thickBot="1" x14ac:dyDescent="0.3">
      <c r="B128" s="1337" t="s">
        <v>302</v>
      </c>
      <c r="C128" s="1338"/>
      <c r="D128" s="1338"/>
      <c r="E128" s="1338"/>
      <c r="F128" s="1338"/>
      <c r="G128" s="203">
        <f>G121-G122-SUM(G123:G127)</f>
        <v>0</v>
      </c>
      <c r="H128" s="1324" t="s">
        <v>265</v>
      </c>
      <c r="I128" s="1238"/>
      <c r="J128" s="1238"/>
      <c r="K128" s="1238"/>
      <c r="L128" s="1239"/>
      <c r="M128" s="451">
        <f>IF(M127&gt;0,PV(M126/12,M127*12,-M125/12,,),M125/M126)</f>
        <v>0</v>
      </c>
      <c r="O128" s="650" t="s">
        <v>804</v>
      </c>
      <c r="P128" s="486"/>
      <c r="Q128" s="486"/>
      <c r="R128" s="486"/>
      <c r="S128" s="487"/>
    </row>
    <row r="129" spans="2:19" ht="15.75" hidden="1" outlineLevel="1" thickBot="1" x14ac:dyDescent="0.3">
      <c r="B129" s="1275" t="s">
        <v>758</v>
      </c>
      <c r="C129" s="1276"/>
      <c r="D129" s="1276"/>
      <c r="E129" s="1276"/>
      <c r="F129" s="1276"/>
      <c r="G129" s="1276"/>
      <c r="H129" s="1276"/>
      <c r="I129" s="1276"/>
      <c r="J129" s="1276"/>
      <c r="K129" s="1276"/>
      <c r="L129" s="1276"/>
      <c r="M129" s="1277"/>
      <c r="O129" s="488"/>
      <c r="P129" s="486"/>
      <c r="Q129" s="486"/>
      <c r="R129" s="486"/>
      <c r="S129" s="487"/>
    </row>
    <row r="130" spans="2:19" hidden="1" outlineLevel="1" x14ac:dyDescent="0.25">
      <c r="B130" s="1305" t="s">
        <v>750</v>
      </c>
      <c r="C130" s="1306"/>
      <c r="D130" s="1306"/>
      <c r="E130" s="1306"/>
      <c r="F130" s="1306"/>
      <c r="G130" s="1307"/>
      <c r="H130" s="1305" t="s">
        <v>751</v>
      </c>
      <c r="I130" s="1306"/>
      <c r="J130" s="1306"/>
      <c r="K130" s="1306"/>
      <c r="L130" s="1306"/>
      <c r="M130" s="1307"/>
      <c r="O130" s="488"/>
      <c r="P130" s="486"/>
      <c r="Q130" s="486"/>
      <c r="R130" s="486"/>
      <c r="S130" s="487"/>
    </row>
    <row r="131" spans="2:19" hidden="1" outlineLevel="1" x14ac:dyDescent="0.25">
      <c r="B131" s="1308" t="s">
        <v>744</v>
      </c>
      <c r="C131" s="1195"/>
      <c r="D131" s="1195"/>
      <c r="E131" s="1195"/>
      <c r="F131" s="1195"/>
      <c r="G131" s="634">
        <f>'Sources &amp; Loan Sizing'!G59</f>
        <v>0</v>
      </c>
      <c r="H131" s="1299" t="s">
        <v>766</v>
      </c>
      <c r="I131" s="1300"/>
      <c r="J131" s="1300"/>
      <c r="K131" s="1300"/>
      <c r="L131" s="1301"/>
      <c r="M131" s="693">
        <f>'Sources &amp; Loan Sizing'!N59</f>
        <v>0</v>
      </c>
      <c r="O131" s="488"/>
      <c r="P131" s="486"/>
      <c r="Q131" s="486"/>
      <c r="R131" s="486"/>
      <c r="S131" s="487"/>
    </row>
    <row r="132" spans="2:19" hidden="1" outlineLevel="1" x14ac:dyDescent="0.25">
      <c r="B132" s="1308" t="s">
        <v>745</v>
      </c>
      <c r="C132" s="1195"/>
      <c r="D132" s="1195"/>
      <c r="E132" s="1195"/>
      <c r="F132" s="1195"/>
      <c r="G132" s="634">
        <f>'Sources &amp; Loan Sizing'!G60</f>
        <v>0</v>
      </c>
      <c r="H132" s="1309" t="s">
        <v>752</v>
      </c>
      <c r="I132" s="1310"/>
      <c r="J132" s="1310"/>
      <c r="K132" s="1310"/>
      <c r="L132" s="1311"/>
      <c r="M132" s="696">
        <f>'Sources &amp; Loan Sizing'!N60</f>
        <v>0.04</v>
      </c>
      <c r="O132" s="488"/>
      <c r="P132" s="486"/>
      <c r="Q132" s="486"/>
      <c r="R132" s="486"/>
      <c r="S132" s="487"/>
    </row>
    <row r="133" spans="2:19" ht="15.75" hidden="1" outlineLevel="1" thickBot="1" x14ac:dyDescent="0.3">
      <c r="B133" s="1308" t="s">
        <v>746</v>
      </c>
      <c r="C133" s="1195"/>
      <c r="D133" s="1195"/>
      <c r="E133" s="1195"/>
      <c r="F133" s="1195"/>
      <c r="G133" s="635">
        <f>'Sources &amp; Loan Sizing'!G61</f>
        <v>0</v>
      </c>
      <c r="H133" s="1312" t="s">
        <v>753</v>
      </c>
      <c r="I133" s="1313"/>
      <c r="J133" s="1313"/>
      <c r="K133" s="1313"/>
      <c r="L133" s="1314"/>
      <c r="M133" s="694">
        <f>IFERROR(M131/M132,"N/A")</f>
        <v>0</v>
      </c>
      <c r="O133" s="488"/>
      <c r="P133" s="486"/>
      <c r="Q133" s="486"/>
      <c r="R133" s="486"/>
      <c r="S133" s="487"/>
    </row>
    <row r="134" spans="2:19" hidden="1" outlineLevel="1" x14ac:dyDescent="0.25">
      <c r="B134" s="632" t="s">
        <v>747</v>
      </c>
      <c r="C134" s="621"/>
      <c r="D134" s="621"/>
      <c r="E134" s="621"/>
      <c r="F134" s="621"/>
      <c r="G134" s="635">
        <f>G131-G132-G133</f>
        <v>0</v>
      </c>
      <c r="H134" s="1302" t="s">
        <v>754</v>
      </c>
      <c r="I134" s="1303"/>
      <c r="J134" s="1303"/>
      <c r="K134" s="1303"/>
      <c r="L134" s="1303"/>
      <c r="M134" s="1304"/>
      <c r="O134" s="488"/>
      <c r="P134" s="486"/>
      <c r="Q134" s="486"/>
      <c r="R134" s="486"/>
      <c r="S134" s="487"/>
    </row>
    <row r="135" spans="2:19" hidden="1" outlineLevel="1" x14ac:dyDescent="0.25">
      <c r="B135" s="1299"/>
      <c r="C135" s="1300"/>
      <c r="D135" s="1300"/>
      <c r="E135" s="1300"/>
      <c r="F135" s="1301"/>
      <c r="G135" s="635"/>
      <c r="H135" s="1299" t="s">
        <v>791</v>
      </c>
      <c r="I135" s="1300"/>
      <c r="J135" s="1300"/>
      <c r="K135" s="1300"/>
      <c r="L135" s="1301"/>
      <c r="M135" s="693">
        <f>'Sources &amp; Loan Sizing'!N63</f>
        <v>0</v>
      </c>
      <c r="O135" s="488"/>
      <c r="P135" s="486"/>
      <c r="Q135" s="486"/>
      <c r="R135" s="486"/>
      <c r="S135" s="487"/>
    </row>
    <row r="136" spans="2:19" hidden="1" outlineLevel="1" x14ac:dyDescent="0.25">
      <c r="B136" s="1308" t="s">
        <v>748</v>
      </c>
      <c r="C136" s="1195"/>
      <c r="D136" s="1195"/>
      <c r="E136" s="1195"/>
      <c r="F136" s="1195"/>
      <c r="G136" s="444">
        <f>'Sources &amp; Loan Sizing'!G64</f>
        <v>0.75</v>
      </c>
      <c r="H136" s="1309" t="s">
        <v>792</v>
      </c>
      <c r="I136" s="1310"/>
      <c r="J136" s="1310"/>
      <c r="K136" s="1310"/>
      <c r="L136" s="1311"/>
      <c r="M136" s="582">
        <f>'Sources &amp; Loan Sizing'!N64</f>
        <v>0</v>
      </c>
      <c r="O136" s="488"/>
      <c r="P136" s="486"/>
      <c r="Q136" s="486"/>
      <c r="R136" s="486"/>
      <c r="S136" s="487"/>
    </row>
    <row r="137" spans="2:19" ht="15.75" hidden="1" outlineLevel="1" thickBot="1" x14ac:dyDescent="0.3">
      <c r="B137" s="1228" t="s">
        <v>749</v>
      </c>
      <c r="C137" s="1229"/>
      <c r="D137" s="1229"/>
      <c r="E137" s="1229"/>
      <c r="F137" s="1229"/>
      <c r="G137" s="643">
        <f>G136*G134</f>
        <v>0</v>
      </c>
      <c r="H137" s="1312" t="s">
        <v>756</v>
      </c>
      <c r="I137" s="1313"/>
      <c r="J137" s="1313"/>
      <c r="K137" s="1313"/>
      <c r="L137" s="1314"/>
      <c r="M137" s="695" t="str">
        <f>IF(M136&gt;=3%,"OK","FAIL")</f>
        <v>FAIL</v>
      </c>
      <c r="O137" s="488"/>
      <c r="P137" s="486"/>
      <c r="Q137" s="486"/>
      <c r="R137" s="486"/>
      <c r="S137" s="487"/>
    </row>
    <row r="138" spans="2:19" ht="15.75" collapsed="1" thickBot="1" x14ac:dyDescent="0.3">
      <c r="O138" s="488"/>
      <c r="P138" s="486"/>
      <c r="Q138" s="486"/>
      <c r="R138" s="486"/>
      <c r="S138" s="487"/>
    </row>
    <row r="139" spans="2:19" ht="15.75" hidden="1" outlineLevel="1" thickBot="1" x14ac:dyDescent="0.3">
      <c r="B139" s="1233" t="s">
        <v>273</v>
      </c>
      <c r="C139" s="1234"/>
      <c r="D139" s="1234"/>
      <c r="E139" s="1234"/>
      <c r="F139" s="1234"/>
      <c r="G139" s="1234"/>
      <c r="H139" s="1234"/>
      <c r="I139" s="1234"/>
      <c r="J139" s="1234"/>
      <c r="K139" s="1234"/>
      <c r="L139" s="1234"/>
      <c r="M139" s="1235"/>
      <c r="O139" s="488"/>
      <c r="P139" s="486"/>
      <c r="Q139" s="486"/>
      <c r="R139" s="486"/>
      <c r="S139" s="487"/>
    </row>
    <row r="140" spans="2:19" hidden="1" outlineLevel="1" x14ac:dyDescent="0.25">
      <c r="B140" s="1305" t="s">
        <v>268</v>
      </c>
      <c r="C140" s="1306"/>
      <c r="D140" s="1306"/>
      <c r="E140" s="1306"/>
      <c r="F140" s="1306"/>
      <c r="G140" s="1307"/>
      <c r="H140" s="1268" t="s">
        <v>276</v>
      </c>
      <c r="I140" s="1268"/>
      <c r="J140" s="1268"/>
      <c r="K140" s="1268"/>
      <c r="L140" s="1268"/>
      <c r="M140" s="1269"/>
      <c r="O140" s="488"/>
      <c r="P140" s="486"/>
      <c r="Q140" s="486"/>
      <c r="R140" s="486"/>
      <c r="S140" s="487"/>
    </row>
    <row r="141" spans="2:19" hidden="1" outlineLevel="1" x14ac:dyDescent="0.25">
      <c r="B141" s="198"/>
      <c r="C141" s="196"/>
      <c r="D141" s="196"/>
      <c r="E141" s="196"/>
      <c r="F141" s="197"/>
      <c r="G141" s="195" t="str">
        <f>'Sources &amp; Loan Sizing'!G69</f>
        <v>Year 1</v>
      </c>
      <c r="H141" s="1192"/>
      <c r="I141" s="1193"/>
      <c r="J141" s="1193"/>
      <c r="K141" s="1193"/>
      <c r="L141" s="1193"/>
      <c r="M141" s="23" t="str">
        <f>'Sources &amp; Loan Sizing'!N69</f>
        <v>Year 1</v>
      </c>
      <c r="O141" s="488"/>
      <c r="P141" s="486"/>
      <c r="Q141" s="486"/>
      <c r="R141" s="486"/>
      <c r="S141" s="487"/>
    </row>
    <row r="142" spans="2:19" hidden="1" outlineLevel="1" x14ac:dyDescent="0.25">
      <c r="B142" s="1196" t="s">
        <v>274</v>
      </c>
      <c r="C142" s="1197"/>
      <c r="D142" s="1197"/>
      <c r="E142" s="1197"/>
      <c r="F142" s="1198"/>
      <c r="G142" s="24">
        <f>'Sources &amp; Loan Sizing'!G70</f>
        <v>0</v>
      </c>
      <c r="H142" s="1198" t="s">
        <v>274</v>
      </c>
      <c r="I142" s="1199"/>
      <c r="J142" s="1199"/>
      <c r="K142" s="1199"/>
      <c r="L142" s="1199"/>
      <c r="M142" s="24">
        <f>'Sources &amp; Loan Sizing'!N70</f>
        <v>0</v>
      </c>
      <c r="O142" s="488"/>
      <c r="P142" s="486"/>
      <c r="Q142" s="486"/>
      <c r="R142" s="486"/>
      <c r="S142" s="487"/>
    </row>
    <row r="143" spans="2:19" hidden="1" outlineLevel="1" x14ac:dyDescent="0.25">
      <c r="B143" s="1196" t="s">
        <v>287</v>
      </c>
      <c r="C143" s="1197"/>
      <c r="D143" s="1197"/>
      <c r="E143" s="1197"/>
      <c r="F143" s="1198"/>
      <c r="G143" s="448">
        <f>'Sources &amp; Loan Sizing'!G71</f>
        <v>52</v>
      </c>
      <c r="H143" s="1207" t="s">
        <v>58</v>
      </c>
      <c r="I143" s="1195"/>
      <c r="J143" s="1195"/>
      <c r="K143" s="1195"/>
      <c r="L143" s="1195"/>
      <c r="M143" s="446">
        <f>'Sources &amp; Loan Sizing'!N71</f>
        <v>1.2</v>
      </c>
      <c r="O143" s="488"/>
      <c r="P143" s="486"/>
      <c r="Q143" s="486"/>
      <c r="R143" s="486"/>
      <c r="S143" s="487"/>
    </row>
    <row r="144" spans="2:19" hidden="1" outlineLevel="1" x14ac:dyDescent="0.25">
      <c r="B144" s="1196" t="s">
        <v>263</v>
      </c>
      <c r="C144" s="1197"/>
      <c r="D144" s="1197"/>
      <c r="E144" s="1197"/>
      <c r="F144" s="1198"/>
      <c r="G144" s="444">
        <f>M111</f>
        <v>7.0000000000000007E-2</v>
      </c>
      <c r="H144" s="1207" t="s">
        <v>50</v>
      </c>
      <c r="I144" s="1195"/>
      <c r="J144" s="1195"/>
      <c r="K144" s="1195"/>
      <c r="L144" s="1195"/>
      <c r="M144" s="24">
        <f>M142/M143</f>
        <v>0</v>
      </c>
      <c r="O144" s="488"/>
      <c r="P144" s="486"/>
      <c r="Q144" s="486"/>
      <c r="R144" s="486"/>
      <c r="S144" s="487"/>
    </row>
    <row r="145" spans="2:19" hidden="1" outlineLevel="1" x14ac:dyDescent="0.25">
      <c r="B145" s="1190" t="s">
        <v>264</v>
      </c>
      <c r="C145" s="1191"/>
      <c r="D145" s="1191"/>
      <c r="E145" s="1191"/>
      <c r="F145" s="1192"/>
      <c r="G145" s="456">
        <f>ROUND(-PV(G144/2,G143,G142/2),-2)</f>
        <v>0</v>
      </c>
      <c r="H145" s="1207" t="s">
        <v>59</v>
      </c>
      <c r="I145" s="1195"/>
      <c r="J145" s="1195"/>
      <c r="K145" s="1195"/>
      <c r="L145" s="1195"/>
      <c r="M145" s="24">
        <f>MIN(L144:M144)</f>
        <v>0</v>
      </c>
      <c r="O145" s="488"/>
      <c r="P145" s="486"/>
      <c r="Q145" s="486"/>
      <c r="R145" s="486"/>
      <c r="S145" s="487"/>
    </row>
    <row r="146" spans="2:19" hidden="1" outlineLevel="1" x14ac:dyDescent="0.25">
      <c r="B146" s="1196" t="s">
        <v>269</v>
      </c>
      <c r="C146" s="1197"/>
      <c r="D146" s="1197"/>
      <c r="E146" s="1197"/>
      <c r="F146" s="1198"/>
      <c r="G146" s="448">
        <f>'Sources &amp; Loan Sizing'!G74</f>
        <v>0</v>
      </c>
      <c r="H146" s="1207" t="s">
        <v>60</v>
      </c>
      <c r="I146" s="1195"/>
      <c r="J146" s="1195"/>
      <c r="K146" s="1195"/>
      <c r="L146" s="1195"/>
      <c r="M146" s="457">
        <f>'Sources &amp; Loan Sizing'!N74</f>
        <v>7.0000000000000007E-2</v>
      </c>
      <c r="O146" s="488"/>
      <c r="P146" s="486"/>
      <c r="Q146" s="486"/>
      <c r="R146" s="486"/>
      <c r="S146" s="487"/>
    </row>
    <row r="147" spans="2:19" hidden="1" outlineLevel="1" x14ac:dyDescent="0.25">
      <c r="B147" s="1288" t="s">
        <v>271</v>
      </c>
      <c r="C147" s="1197"/>
      <c r="D147" s="1197"/>
      <c r="E147" s="1197"/>
      <c r="F147" s="1198"/>
      <c r="G147" s="438">
        <f>'Sources &amp; Loan Sizing'!G75</f>
        <v>0</v>
      </c>
      <c r="H147" s="1198" t="s">
        <v>275</v>
      </c>
      <c r="I147" s="1195"/>
      <c r="J147" s="1195"/>
      <c r="K147" s="1195"/>
      <c r="L147" s="1195"/>
      <c r="M147" s="448">
        <f>'Sources &amp; Loan Sizing'!N75</f>
        <v>26</v>
      </c>
      <c r="O147" s="488"/>
      <c r="P147" s="486"/>
      <c r="Q147" s="486"/>
      <c r="R147" s="486"/>
      <c r="S147" s="487"/>
    </row>
    <row r="148" spans="2:19" hidden="1" outlineLevel="1" x14ac:dyDescent="0.25">
      <c r="B148" s="304" t="s">
        <v>672</v>
      </c>
      <c r="C148" s="321"/>
      <c r="D148" s="321"/>
      <c r="E148" s="321"/>
      <c r="F148" s="322"/>
      <c r="G148" s="438">
        <f>'Sources &amp; Loan Sizing'!G76</f>
        <v>0</v>
      </c>
      <c r="H148" t="s">
        <v>281</v>
      </c>
      <c r="K148" s="240" t="str">
        <f>'Sources &amp; Loan Sizing'!L76</f>
        <v>Monthly</v>
      </c>
      <c r="L148" s="52" t="s">
        <v>285</v>
      </c>
      <c r="M148" s="24">
        <f>VLOOKUP(K148,Lists!$C$1:$D$4,2,FALSE)</f>
        <v>12</v>
      </c>
      <c r="O148" s="488"/>
      <c r="P148" s="486"/>
      <c r="Q148" s="486"/>
      <c r="R148" s="486"/>
      <c r="S148" s="487"/>
    </row>
    <row r="149" spans="2:19" ht="15.75" hidden="1" outlineLevel="1" thickBot="1" x14ac:dyDescent="0.3">
      <c r="B149" s="304" t="s">
        <v>605</v>
      </c>
      <c r="C149" s="321"/>
      <c r="D149" s="321"/>
      <c r="E149" s="321"/>
      <c r="F149" s="322"/>
      <c r="G149" s="438">
        <f>G147+G148</f>
        <v>0</v>
      </c>
      <c r="H149" s="1238" t="s">
        <v>265</v>
      </c>
      <c r="I149" s="1238"/>
      <c r="J149" s="1238"/>
      <c r="K149" s="1238"/>
      <c r="L149" s="1239"/>
      <c r="M149" s="451">
        <f>PV(M146/M148,M147*M148,-M145/M148,,)</f>
        <v>0</v>
      </c>
      <c r="O149" s="488"/>
      <c r="P149" s="486"/>
      <c r="Q149" s="486"/>
      <c r="R149" s="486"/>
      <c r="S149" s="487"/>
    </row>
    <row r="150" spans="2:19" hidden="1" outlineLevel="1" x14ac:dyDescent="0.25">
      <c r="B150" s="1196" t="s">
        <v>270</v>
      </c>
      <c r="C150" s="1197"/>
      <c r="D150" s="1197"/>
      <c r="E150" s="1197"/>
      <c r="F150" s="1198"/>
      <c r="G150" s="444">
        <v>0.8</v>
      </c>
      <c r="O150" s="488"/>
      <c r="P150" s="486"/>
      <c r="Q150" s="486"/>
      <c r="R150" s="486"/>
      <c r="S150" s="487"/>
    </row>
    <row r="151" spans="2:19" hidden="1" outlineLevel="1" x14ac:dyDescent="0.25">
      <c r="B151" s="304" t="s">
        <v>603</v>
      </c>
      <c r="C151" s="321"/>
      <c r="D151" s="321"/>
      <c r="E151" s="321"/>
      <c r="F151" s="322"/>
      <c r="G151" s="438">
        <f>G149*G150</f>
        <v>0</v>
      </c>
      <c r="O151" s="488"/>
      <c r="P151" s="486"/>
      <c r="Q151" s="486"/>
      <c r="R151" s="486"/>
      <c r="S151" s="487"/>
    </row>
    <row r="152" spans="2:19" hidden="1" outlineLevel="1" x14ac:dyDescent="0.25">
      <c r="B152" s="508" t="s">
        <v>604</v>
      </c>
      <c r="C152" s="321"/>
      <c r="D152" s="321"/>
      <c r="E152" s="321"/>
      <c r="F152" s="322"/>
      <c r="G152" s="438">
        <f>IF(G148&gt;0,-J160,0)</f>
        <v>0</v>
      </c>
      <c r="H152" s="329"/>
      <c r="I152" s="329"/>
      <c r="J152" s="329"/>
      <c r="K152" s="329"/>
      <c r="L152" s="329"/>
      <c r="M152" s="458"/>
      <c r="O152" s="488"/>
      <c r="P152" s="486"/>
      <c r="Q152" s="486"/>
      <c r="R152" s="486"/>
      <c r="S152" s="487"/>
    </row>
    <row r="153" spans="2:19" ht="15.75" hidden="1" outlineLevel="1" thickBot="1" x14ac:dyDescent="0.3">
      <c r="B153" s="479" t="s">
        <v>602</v>
      </c>
      <c r="C153" s="480"/>
      <c r="D153" s="480"/>
      <c r="E153" s="480"/>
      <c r="F153" s="481"/>
      <c r="G153" s="459">
        <f>IF(G148&gt;0,G151-J160,G151)</f>
        <v>0</v>
      </c>
      <c r="H153" s="329"/>
      <c r="I153" s="329"/>
      <c r="J153" s="329"/>
      <c r="K153" s="329"/>
      <c r="L153" s="329"/>
      <c r="M153" s="458"/>
      <c r="O153" s="488"/>
      <c r="P153" s="486"/>
      <c r="Q153" s="486"/>
      <c r="R153" s="486"/>
      <c r="S153" s="487"/>
    </row>
    <row r="154" spans="2:19" ht="15.75" hidden="1" outlineLevel="1" thickBot="1" x14ac:dyDescent="0.3">
      <c r="G154" s="460"/>
      <c r="O154" s="488"/>
      <c r="P154" s="486"/>
      <c r="Q154" s="486"/>
      <c r="R154" s="486"/>
      <c r="S154" s="487"/>
    </row>
    <row r="155" spans="2:19" collapsed="1" x14ac:dyDescent="0.25">
      <c r="B155" s="1329" t="s">
        <v>325</v>
      </c>
      <c r="C155" s="1330"/>
      <c r="D155" s="1330"/>
      <c r="E155" s="1330"/>
      <c r="F155" s="1330"/>
      <c r="G155" s="1330"/>
      <c r="H155" s="1330"/>
      <c r="I155" s="1330"/>
      <c r="J155" s="1330"/>
      <c r="K155" s="1330"/>
      <c r="L155" s="1330"/>
      <c r="M155" s="1331"/>
      <c r="O155" s="488"/>
      <c r="P155" s="486"/>
      <c r="Q155" s="486"/>
      <c r="R155" s="486"/>
      <c r="S155" s="487"/>
    </row>
    <row r="156" spans="2:19" x14ac:dyDescent="0.25">
      <c r="B156" s="1332"/>
      <c r="C156" s="1333"/>
      <c r="D156" s="1333"/>
      <c r="E156" s="1333"/>
      <c r="F156" s="1333"/>
      <c r="G156" s="1333"/>
      <c r="H156" s="1333"/>
      <c r="I156" s="1334"/>
      <c r="J156" s="249" t="s">
        <v>280</v>
      </c>
      <c r="K156" s="239" t="s">
        <v>452</v>
      </c>
      <c r="L156" s="242" t="s">
        <v>451</v>
      </c>
      <c r="M156" s="248" t="s">
        <v>450</v>
      </c>
      <c r="O156" s="488"/>
      <c r="P156" s="486"/>
      <c r="Q156" s="486"/>
      <c r="R156" s="486"/>
      <c r="S156" s="487"/>
    </row>
    <row r="157" spans="2:19" x14ac:dyDescent="0.25">
      <c r="B157" s="1203" t="s">
        <v>453</v>
      </c>
      <c r="C157" s="1193"/>
      <c r="D157" s="1193"/>
      <c r="E157" s="1193"/>
      <c r="F157" s="1193"/>
      <c r="G157" s="1193"/>
      <c r="H157" s="1193"/>
      <c r="I157" s="1193"/>
      <c r="J157" s="461">
        <f>'Sources &amp; Loan Sizing'!K85</f>
        <v>0</v>
      </c>
      <c r="K157" s="462">
        <f>'Sources &amp; Loan Sizing'!L85</f>
        <v>0</v>
      </c>
      <c r="L157" s="463">
        <f>'Sources &amp; Loan Sizing'!M85</f>
        <v>0</v>
      </c>
      <c r="M157" s="464">
        <f>'Sources &amp; Loan Sizing'!N85</f>
        <v>0</v>
      </c>
      <c r="O157" s="488"/>
      <c r="P157" s="486"/>
      <c r="Q157" s="486"/>
      <c r="R157" s="486"/>
      <c r="S157" s="487"/>
    </row>
    <row r="158" spans="2:19" x14ac:dyDescent="0.25">
      <c r="B158" s="1203" t="s">
        <v>65</v>
      </c>
      <c r="C158" s="1193"/>
      <c r="D158" s="1193"/>
      <c r="E158" s="1193"/>
      <c r="F158" s="1193"/>
      <c r="G158" s="1193"/>
      <c r="H158" s="1193"/>
      <c r="I158" s="1193"/>
      <c r="J158" s="463">
        <f>'Sources &amp; Loan Sizing'!K87</f>
        <v>0</v>
      </c>
      <c r="K158" s="462">
        <f>'Sources &amp; Loan Sizing'!L87</f>
        <v>0</v>
      </c>
      <c r="L158" s="463">
        <f>'Sources &amp; Loan Sizing'!M87</f>
        <v>0</v>
      </c>
      <c r="M158" s="478">
        <f>'Sources &amp; Loan Sizing'!N87</f>
        <v>0</v>
      </c>
      <c r="O158" s="488"/>
      <c r="P158" s="486"/>
      <c r="Q158" s="486"/>
      <c r="R158" s="486"/>
      <c r="S158" s="487"/>
    </row>
    <row r="159" spans="2:19" x14ac:dyDescent="0.25">
      <c r="B159" s="1203" t="s">
        <v>279</v>
      </c>
      <c r="C159" s="1193"/>
      <c r="D159" s="1193"/>
      <c r="E159" s="1193"/>
      <c r="F159" s="1193"/>
      <c r="G159" s="1193"/>
      <c r="H159" s="1193"/>
      <c r="I159" s="1193"/>
      <c r="J159" s="465">
        <f>'Sources &amp; Loan Sizing'!K88</f>
        <v>0</v>
      </c>
      <c r="K159" s="466">
        <f>'Sources &amp; Loan Sizing'!L88</f>
        <v>0</v>
      </c>
      <c r="L159" s="467">
        <f>'Sources &amp; Loan Sizing'!M88</f>
        <v>0</v>
      </c>
      <c r="M159" s="468">
        <f>'Sources &amp; Loan Sizing'!N88</f>
        <v>0</v>
      </c>
      <c r="O159" s="488"/>
      <c r="P159" s="486"/>
      <c r="Q159" s="486"/>
      <c r="R159" s="486"/>
      <c r="S159" s="487"/>
    </row>
    <row r="160" spans="2:19" x14ac:dyDescent="0.25">
      <c r="B160" s="1203" t="s">
        <v>103</v>
      </c>
      <c r="C160" s="1193"/>
      <c r="D160" s="1193"/>
      <c r="E160" s="1193"/>
      <c r="F160" s="1193"/>
      <c r="G160" s="1193"/>
      <c r="H160" s="1193"/>
      <c r="I160" s="1193"/>
      <c r="J160" s="465">
        <f>'Sources &amp; Loan Sizing'!K90</f>
        <v>0</v>
      </c>
      <c r="K160" s="469">
        <f>'Sources &amp; Loan Sizing'!L90</f>
        <v>0</v>
      </c>
      <c r="L160" s="470">
        <f>'Sources &amp; Loan Sizing'!M90</f>
        <v>0</v>
      </c>
      <c r="M160" s="468">
        <f>'Sources &amp; Loan Sizing'!N90</f>
        <v>0</v>
      </c>
      <c r="O160" s="488"/>
      <c r="P160" s="486"/>
      <c r="Q160" s="486"/>
      <c r="R160" s="486"/>
      <c r="S160" s="487"/>
    </row>
    <row r="161" spans="2:19" x14ac:dyDescent="0.25">
      <c r="B161" s="1203" t="s">
        <v>60</v>
      </c>
      <c r="C161" s="1193"/>
      <c r="D161" s="1193"/>
      <c r="E161" s="1193"/>
      <c r="F161" s="1193"/>
      <c r="G161" s="1193"/>
      <c r="H161" s="1193"/>
      <c r="I161" s="1193"/>
      <c r="J161" s="471">
        <f>M111</f>
        <v>7.0000000000000007E-2</v>
      </c>
      <c r="K161" s="472">
        <f>M146</f>
        <v>7.0000000000000007E-2</v>
      </c>
      <c r="L161" s="473">
        <f>M126</f>
        <v>7.0000000000000007E-2</v>
      </c>
      <c r="M161" s="474">
        <f>'Sources &amp; Loan Sizing'!N91</f>
        <v>0</v>
      </c>
      <c r="O161" s="488"/>
      <c r="P161" s="486"/>
      <c r="Q161" s="486"/>
      <c r="R161" s="486"/>
      <c r="S161" s="487"/>
    </row>
    <row r="162" spans="2:19" x14ac:dyDescent="0.25">
      <c r="B162" s="1203" t="s">
        <v>61</v>
      </c>
      <c r="C162" s="1193"/>
      <c r="D162" s="1193"/>
      <c r="E162" s="1193"/>
      <c r="F162" s="1193"/>
      <c r="G162" s="1193"/>
      <c r="H162" s="1193"/>
      <c r="I162" s="1193"/>
      <c r="J162" s="470">
        <f>M113</f>
        <v>30</v>
      </c>
      <c r="K162" s="469">
        <f>M147</f>
        <v>26</v>
      </c>
      <c r="L162" s="470">
        <f>M127</f>
        <v>0</v>
      </c>
      <c r="M162" s="468">
        <f>'Sources &amp; Loan Sizing'!N93</f>
        <v>0</v>
      </c>
      <c r="O162" s="488"/>
      <c r="P162" s="486"/>
      <c r="Q162" s="486"/>
      <c r="R162" s="486"/>
      <c r="S162" s="487"/>
    </row>
    <row r="163" spans="2:19" x14ac:dyDescent="0.25">
      <c r="B163" s="1203" t="s">
        <v>104</v>
      </c>
      <c r="C163" s="1193"/>
      <c r="D163" s="1193"/>
      <c r="E163" s="1193"/>
      <c r="F163" s="1193"/>
      <c r="G163" s="1193"/>
      <c r="H163" s="1193"/>
      <c r="I163" s="1193"/>
      <c r="J163" s="470">
        <f>'Sources &amp; Loan Sizing'!K94</f>
        <v>0</v>
      </c>
      <c r="K163" s="469">
        <f>'Sources &amp; Loan Sizing'!L94</f>
        <v>0</v>
      </c>
      <c r="L163" s="470">
        <f>'Sources &amp; Loan Sizing'!M94</f>
        <v>0</v>
      </c>
      <c r="M163" s="468">
        <f>'Sources &amp; Loan Sizing'!N94</f>
        <v>0</v>
      </c>
      <c r="O163" s="488"/>
      <c r="P163" s="486"/>
      <c r="Q163" s="486"/>
      <c r="R163" s="486"/>
      <c r="S163" s="487"/>
    </row>
    <row r="164" spans="2:19" x14ac:dyDescent="0.25">
      <c r="B164" s="1203" t="s">
        <v>442</v>
      </c>
      <c r="C164" s="1193"/>
      <c r="D164" s="1193"/>
      <c r="E164" s="1193"/>
      <c r="F164" s="1193"/>
      <c r="G164" s="1193"/>
      <c r="H164" s="1193"/>
      <c r="I164" s="1193"/>
      <c r="J164" s="470">
        <f>'Sources &amp; Loan Sizing'!K96</f>
        <v>0</v>
      </c>
      <c r="K164" s="469">
        <f>'Sources &amp; Loan Sizing'!L96</f>
        <v>0</v>
      </c>
      <c r="L164" s="465">
        <f>'Sources &amp; Loan Sizing'!M96</f>
        <v>0</v>
      </c>
      <c r="M164" s="468">
        <f>'Sources &amp; Loan Sizing'!N96</f>
        <v>0</v>
      </c>
      <c r="O164" s="488"/>
      <c r="P164" s="486"/>
      <c r="Q164" s="486"/>
      <c r="R164" s="486"/>
      <c r="S164" s="487"/>
    </row>
    <row r="165" spans="2:19" x14ac:dyDescent="0.25">
      <c r="B165" s="1203" t="s">
        <v>105</v>
      </c>
      <c r="C165" s="1193"/>
      <c r="D165" s="1193"/>
      <c r="E165" s="1193"/>
      <c r="F165" s="1193"/>
      <c r="G165" s="1193"/>
      <c r="H165" s="1193"/>
      <c r="I165" s="1193"/>
      <c r="J165" s="470">
        <f>'Sources &amp; Loan Sizing'!K97</f>
        <v>0</v>
      </c>
      <c r="K165" s="469">
        <f>'Sources &amp; Loan Sizing'!L97</f>
        <v>0</v>
      </c>
      <c r="L165" s="470">
        <f>'Sources &amp; Loan Sizing'!M97</f>
        <v>0</v>
      </c>
      <c r="M165" s="468">
        <f>'Sources &amp; Loan Sizing'!N97</f>
        <v>0</v>
      </c>
      <c r="O165" s="488"/>
      <c r="P165" s="486"/>
      <c r="Q165" s="486"/>
      <c r="R165" s="486"/>
      <c r="S165" s="487"/>
    </row>
    <row r="166" spans="2:19" ht="15.75" thickBot="1" x14ac:dyDescent="0.3">
      <c r="B166" s="1228" t="s">
        <v>106</v>
      </c>
      <c r="C166" s="1229"/>
      <c r="D166" s="1229"/>
      <c r="E166" s="1229"/>
      <c r="F166" s="1229"/>
      <c r="G166" s="1229"/>
      <c r="H166" s="1229"/>
      <c r="I166" s="1229"/>
      <c r="J166" s="475">
        <f>'Sources &amp; Loan Sizing'!K98</f>
        <v>0</v>
      </c>
      <c r="K166" s="476">
        <f>'Sources &amp; Loan Sizing'!L98</f>
        <v>0</v>
      </c>
      <c r="L166" s="475">
        <f>'Sources &amp; Loan Sizing'!M98</f>
        <v>0</v>
      </c>
      <c r="M166" s="477">
        <f>'Sources &amp; Loan Sizing'!N98</f>
        <v>0</v>
      </c>
      <c r="O166" s="488"/>
      <c r="P166" s="486"/>
      <c r="Q166" s="486"/>
      <c r="R166" s="486"/>
      <c r="S166" s="487"/>
    </row>
    <row r="167" spans="2:19" x14ac:dyDescent="0.25">
      <c r="O167" s="488"/>
      <c r="P167" s="486"/>
      <c r="Q167" s="486"/>
      <c r="R167" s="486"/>
      <c r="S167" s="487"/>
    </row>
    <row r="168" spans="2:19" x14ac:dyDescent="0.25">
      <c r="B168" s="2" t="s">
        <v>809</v>
      </c>
      <c r="O168" s="488"/>
      <c r="P168" s="486"/>
      <c r="Q168" s="486"/>
      <c r="R168" s="486"/>
      <c r="S168" s="487"/>
    </row>
    <row r="169" spans="2:19" x14ac:dyDescent="0.25">
      <c r="O169" s="488"/>
      <c r="P169" s="486"/>
      <c r="Q169" s="486"/>
      <c r="R169" s="486"/>
      <c r="S169" s="487"/>
    </row>
    <row r="170" spans="2:19" x14ac:dyDescent="0.25">
      <c r="O170" s="488"/>
      <c r="P170" s="486"/>
      <c r="Q170" s="486"/>
      <c r="R170" s="486"/>
      <c r="S170" s="487"/>
    </row>
    <row r="171" spans="2:19" x14ac:dyDescent="0.25">
      <c r="O171" s="488"/>
      <c r="P171" s="486"/>
      <c r="Q171" s="486"/>
      <c r="R171" s="486"/>
      <c r="S171" s="487"/>
    </row>
    <row r="172" spans="2:19" x14ac:dyDescent="0.25">
      <c r="O172" s="488"/>
      <c r="P172" s="486"/>
      <c r="Q172" s="486"/>
      <c r="R172" s="486"/>
      <c r="S172" s="487"/>
    </row>
    <row r="173" spans="2:19" x14ac:dyDescent="0.25">
      <c r="O173" s="488"/>
      <c r="P173" s="486"/>
      <c r="Q173" s="486"/>
      <c r="R173" s="486"/>
      <c r="S173" s="487"/>
    </row>
    <row r="174" spans="2:19" ht="15.75" thickBot="1" x14ac:dyDescent="0.3">
      <c r="O174" s="495"/>
      <c r="P174" s="496"/>
      <c r="Q174" s="496"/>
      <c r="R174" s="496"/>
      <c r="S174" s="497"/>
    </row>
  </sheetData>
  <sheetProtection sheet="1" formatCells="0"/>
  <mergeCells count="224">
    <mergeCell ref="B128:F128"/>
    <mergeCell ref="B61:F61"/>
    <mergeCell ref="B87:F87"/>
    <mergeCell ref="B81:F81"/>
    <mergeCell ref="B73:F73"/>
    <mergeCell ref="B77:F77"/>
    <mergeCell ref="B79:F79"/>
    <mergeCell ref="B83:F83"/>
    <mergeCell ref="B84:F84"/>
    <mergeCell ref="B80:F80"/>
    <mergeCell ref="B82:F82"/>
    <mergeCell ref="B101:F101"/>
    <mergeCell ref="B108:F108"/>
    <mergeCell ref="B99:F99"/>
    <mergeCell ref="B100:F100"/>
    <mergeCell ref="B93:F93"/>
    <mergeCell ref="C44:D44"/>
    <mergeCell ref="C45:D45"/>
    <mergeCell ref="C46:D46"/>
    <mergeCell ref="C47:D47"/>
    <mergeCell ref="C48:D48"/>
    <mergeCell ref="C49:D49"/>
    <mergeCell ref="C50:D50"/>
    <mergeCell ref="C51:D51"/>
    <mergeCell ref="C52:D52"/>
    <mergeCell ref="B162:I162"/>
    <mergeCell ref="B163:I163"/>
    <mergeCell ref="B164:I164"/>
    <mergeCell ref="B165:I165"/>
    <mergeCell ref="B166:I166"/>
    <mergeCell ref="B156:I156"/>
    <mergeCell ref="B157:I157"/>
    <mergeCell ref="B158:I158"/>
    <mergeCell ref="B159:I159"/>
    <mergeCell ref="B161:I161"/>
    <mergeCell ref="B160:I160"/>
    <mergeCell ref="B155:M155"/>
    <mergeCell ref="B147:F147"/>
    <mergeCell ref="B143:F143"/>
    <mergeCell ref="H143:L143"/>
    <mergeCell ref="H144:L144"/>
    <mergeCell ref="H145:L145"/>
    <mergeCell ref="B144:F144"/>
    <mergeCell ref="B146:F146"/>
    <mergeCell ref="H146:L146"/>
    <mergeCell ref="B23:F23"/>
    <mergeCell ref="G58:I58"/>
    <mergeCell ref="G57:I57"/>
    <mergeCell ref="B139:M139"/>
    <mergeCell ref="B140:G140"/>
    <mergeCell ref="H140:M140"/>
    <mergeCell ref="H147:L147"/>
    <mergeCell ref="H149:L149"/>
    <mergeCell ref="B150:F150"/>
    <mergeCell ref="B136:F136"/>
    <mergeCell ref="H136:L136"/>
    <mergeCell ref="B137:F137"/>
    <mergeCell ref="H137:L137"/>
    <mergeCell ref="H128:L128"/>
    <mergeCell ref="B135:F135"/>
    <mergeCell ref="B86:F86"/>
    <mergeCell ref="C36:D36"/>
    <mergeCell ref="C37:D37"/>
    <mergeCell ref="C38:D38"/>
    <mergeCell ref="C39:D39"/>
    <mergeCell ref="C40:D40"/>
    <mergeCell ref="C41:D41"/>
    <mergeCell ref="C42:D42"/>
    <mergeCell ref="C43:D43"/>
    <mergeCell ref="B14:M14"/>
    <mergeCell ref="B15:G15"/>
    <mergeCell ref="B17:F17"/>
    <mergeCell ref="B18:F18"/>
    <mergeCell ref="B19:F19"/>
    <mergeCell ref="B129:M129"/>
    <mergeCell ref="H135:L135"/>
    <mergeCell ref="H134:M134"/>
    <mergeCell ref="B130:G130"/>
    <mergeCell ref="H130:M130"/>
    <mergeCell ref="B131:F131"/>
    <mergeCell ref="H131:L131"/>
    <mergeCell ref="B132:F132"/>
    <mergeCell ref="H132:L132"/>
    <mergeCell ref="B133:F133"/>
    <mergeCell ref="H133:L133"/>
    <mergeCell ref="I18:K18"/>
    <mergeCell ref="I19:K19"/>
    <mergeCell ref="I20:K20"/>
    <mergeCell ref="I21:K21"/>
    <mergeCell ref="I22:K22"/>
    <mergeCell ref="I23:K23"/>
    <mergeCell ref="I24:K24"/>
    <mergeCell ref="B22:F22"/>
    <mergeCell ref="H122:L122"/>
    <mergeCell ref="B120:F120"/>
    <mergeCell ref="B122:F122"/>
    <mergeCell ref="B123:F123"/>
    <mergeCell ref="B118:F118"/>
    <mergeCell ref="H118:K118"/>
    <mergeCell ref="B119:F119"/>
    <mergeCell ref="B124:F124"/>
    <mergeCell ref="O14:S14"/>
    <mergeCell ref="O15:S15"/>
    <mergeCell ref="B25:F25"/>
    <mergeCell ref="B26:F26"/>
    <mergeCell ref="B27:F27"/>
    <mergeCell ref="B28:F28"/>
    <mergeCell ref="I17:K17"/>
    <mergeCell ref="I25:K25"/>
    <mergeCell ref="I27:K27"/>
    <mergeCell ref="I16:K16"/>
    <mergeCell ref="I26:K26"/>
    <mergeCell ref="B21:F21"/>
    <mergeCell ref="B24:F24"/>
    <mergeCell ref="B20:F20"/>
    <mergeCell ref="B16:F16"/>
    <mergeCell ref="I15:L15"/>
    <mergeCell ref="H113:K113"/>
    <mergeCell ref="B104:M104"/>
    <mergeCell ref="B105:G105"/>
    <mergeCell ref="H105:M105"/>
    <mergeCell ref="H106:K106"/>
    <mergeCell ref="H108:K108"/>
    <mergeCell ref="B121:F121"/>
    <mergeCell ref="H107:K107"/>
    <mergeCell ref="B127:F127"/>
    <mergeCell ref="B107:F107"/>
    <mergeCell ref="H123:L123"/>
    <mergeCell ref="H124:L124"/>
    <mergeCell ref="H125:L125"/>
    <mergeCell ref="H111:K111"/>
    <mergeCell ref="H110:K110"/>
    <mergeCell ref="H126:L126"/>
    <mergeCell ref="H127:L127"/>
    <mergeCell ref="B125:F125"/>
    <mergeCell ref="B126:F126"/>
    <mergeCell ref="H114:K114"/>
    <mergeCell ref="B116:M116"/>
    <mergeCell ref="B117:G117"/>
    <mergeCell ref="H117:M117"/>
    <mergeCell ref="H121:K121"/>
    <mergeCell ref="B54:M54"/>
    <mergeCell ref="G55:I55"/>
    <mergeCell ref="B55:F55"/>
    <mergeCell ref="B56:F56"/>
    <mergeCell ref="B58:F58"/>
    <mergeCell ref="B64:F64"/>
    <mergeCell ref="B59:F59"/>
    <mergeCell ref="B70:F70"/>
    <mergeCell ref="B72:F72"/>
    <mergeCell ref="B33:F33"/>
    <mergeCell ref="B31:F31"/>
    <mergeCell ref="B71:F71"/>
    <mergeCell ref="B102:F102"/>
    <mergeCell ref="B98:F98"/>
    <mergeCell ref="B89:F89"/>
    <mergeCell ref="B57:F57"/>
    <mergeCell ref="B35:M35"/>
    <mergeCell ref="B90:F90"/>
    <mergeCell ref="I33:K33"/>
    <mergeCell ref="B92:F92"/>
    <mergeCell ref="B78:F78"/>
    <mergeCell ref="B74:F74"/>
    <mergeCell ref="B75:F75"/>
    <mergeCell ref="B76:F76"/>
    <mergeCell ref="B69:F69"/>
    <mergeCell ref="B65:F65"/>
    <mergeCell ref="B66:F66"/>
    <mergeCell ref="B62:F62"/>
    <mergeCell ref="B63:F63"/>
    <mergeCell ref="B94:F94"/>
    <mergeCell ref="B95:F95"/>
    <mergeCell ref="B88:F88"/>
    <mergeCell ref="B97:F97"/>
    <mergeCell ref="E7:G7"/>
    <mergeCell ref="E8:G8"/>
    <mergeCell ref="E9:G9"/>
    <mergeCell ref="E10:G10"/>
    <mergeCell ref="E11:G11"/>
    <mergeCell ref="E12:G12"/>
    <mergeCell ref="K7:M7"/>
    <mergeCell ref="K8:M8"/>
    <mergeCell ref="K9:M9"/>
    <mergeCell ref="K10:M10"/>
    <mergeCell ref="K11:M11"/>
    <mergeCell ref="L12:M12"/>
    <mergeCell ref="V34:W34"/>
    <mergeCell ref="V35:W35"/>
    <mergeCell ref="V16:X16"/>
    <mergeCell ref="V32:W32"/>
    <mergeCell ref="V33:W33"/>
    <mergeCell ref="B145:F145"/>
    <mergeCell ref="H141:L141"/>
    <mergeCell ref="H119:K119"/>
    <mergeCell ref="H120:K120"/>
    <mergeCell ref="B142:F142"/>
    <mergeCell ref="H142:L142"/>
    <mergeCell ref="B68:F68"/>
    <mergeCell ref="B67:F67"/>
    <mergeCell ref="B60:F60"/>
    <mergeCell ref="I32:K32"/>
    <mergeCell ref="J55:M55"/>
    <mergeCell ref="G56:I56"/>
    <mergeCell ref="B85:F85"/>
    <mergeCell ref="H109:K109"/>
    <mergeCell ref="B106:F106"/>
    <mergeCell ref="B91:F91"/>
    <mergeCell ref="B29:F29"/>
    <mergeCell ref="B30:F30"/>
    <mergeCell ref="B32:F32"/>
    <mergeCell ref="K6:M6"/>
    <mergeCell ref="Q4:S4"/>
    <mergeCell ref="Q7:S7"/>
    <mergeCell ref="Q8:S8"/>
    <mergeCell ref="O12:P12"/>
    <mergeCell ref="O1:S3"/>
    <mergeCell ref="Q6:S6"/>
    <mergeCell ref="O9:P9"/>
    <mergeCell ref="O10:P10"/>
    <mergeCell ref="O11:P11"/>
    <mergeCell ref="O4:P4"/>
    <mergeCell ref="O6:P6"/>
    <mergeCell ref="O7:P7"/>
    <mergeCell ref="O8:P8"/>
  </mergeCells>
  <conditionalFormatting sqref="X19 X23 X27 X31 X35">
    <cfRule type="cellIs" dxfId="14" priority="4" operator="equal">
      <formula>"Error"</formula>
    </cfRule>
    <cfRule type="cellIs" dxfId="13" priority="5" operator="equal">
      <formula>"OK"</formula>
    </cfRule>
  </conditionalFormatting>
  <conditionalFormatting sqref="M137">
    <cfRule type="cellIs" dxfId="12" priority="1" operator="equal">
      <formula>"OK"</formula>
    </cfRule>
    <cfRule type="cellIs" dxfId="11" priority="2" operator="equal">
      <formula>"OK"</formula>
    </cfRule>
    <cfRule type="cellIs" dxfId="10" priority="3" operator="equal">
      <formula>"FAIL"</formula>
    </cfRule>
  </conditionalFormatting>
  <dataValidations count="1">
    <dataValidation type="list" allowBlank="1" showInputMessage="1" showErrorMessage="1" sqref="J157:M157" xr:uid="{19FE67D5-7CB5-475F-BA2A-4EC61222CE43}">
      <formula1>"x"</formula1>
    </dataValidation>
  </dataValidations>
  <hyperlinks>
    <hyperlink ref="I12" r:id="rId1" xr:uid="{7B76D22D-3F0B-4288-B820-10DFFBD2188B}"/>
  </hyperlinks>
  <pageMargins left="1" right="1" top="1" bottom="1" header="0.05" footer="0.05"/>
  <pageSetup scale="67" fitToHeight="0" orientation="portrait" r:id="rId2"/>
  <headerFooter>
    <oddFooter>&amp;L&amp;F</oddFooter>
  </headerFooter>
  <rowBreaks count="2" manualBreakCount="2">
    <brk id="53" min="1" max="11" man="1"/>
    <brk id="103" min="1" max="11" man="1"/>
  </rowBreaks>
  <ignoredErrors>
    <ignoredError sqref="M33 M16" unlockedFormula="1"/>
  </ignoredErrors>
  <drawing r:id="rId3"/>
  <legacyDrawing r:id="rId4"/>
  <extLst>
    <ext xmlns:x14="http://schemas.microsoft.com/office/spreadsheetml/2009/9/main" uri="{CCE6A557-97BC-4b89-ADB6-D9C93CAAB3DF}">
      <x14:dataValidations xmlns:xm="http://schemas.microsoft.com/office/excel/2006/main" count="6">
        <x14:dataValidation type="list" allowBlank="1" showInputMessage="1" showErrorMessage="1" xr:uid="{AC1F8247-491B-4D78-BAAF-36C0D053B1E0}">
          <x14:formula1>
            <xm:f>Lists!$A$1:$A$2</xm:f>
          </x14:formula1>
          <xm:sqref>Q9:Q12</xm:sqref>
        </x14:dataValidation>
        <x14:dataValidation type="list" allowBlank="1" showInputMessage="1" showErrorMessage="1" xr:uid="{374A27C3-6291-4065-9B28-53DB47A4A7E5}">
          <x14:formula1>
            <xm:f>Lists!$I$21:$I$25</xm:f>
          </x14:formula1>
          <xm:sqref>S10</xm:sqref>
        </x14:dataValidation>
        <x14:dataValidation type="list" allowBlank="1" showInputMessage="1" showErrorMessage="1" xr:uid="{194ECC15-21CE-43EB-9555-3657E7A88937}">
          <x14:formula1>
            <xm:f>Lists!$N$2:$N$5</xm:f>
          </x14:formula1>
          <xm:sqref>S9</xm:sqref>
        </x14:dataValidation>
        <x14:dataValidation type="list" allowBlank="1" showInputMessage="1" showErrorMessage="1" xr:uid="{70B3DEAD-FA3A-47C8-B92E-3539D6E36A20}">
          <x14:formula1>
            <xm:f>Lists!$C$1:$C$4</xm:f>
          </x14:formula1>
          <xm:sqref>K148</xm:sqref>
        </x14:dataValidation>
        <x14:dataValidation type="list" allowBlank="1" showInputMessage="1" showErrorMessage="1" xr:uid="{32E8EE8F-5977-4BE9-BCD4-11CDF00A9423}">
          <x14:formula1>
            <xm:f>MTSP2025!$A$2:$A$88</xm:f>
          </x14:formula1>
          <xm:sqref>E10</xm:sqref>
        </x14:dataValidation>
        <x14:dataValidation type="list" allowBlank="1" showInputMessage="1" showErrorMessage="1" xr:uid="{B0EC2372-C361-466F-B813-75F85F24A4BF}">
          <x14:formula1>
            <xm:f>Lists!$H$2:$H$6</xm:f>
          </x14:formula1>
          <xm:sqref>K6:M6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5E849-2976-41C6-BCD2-9A6B8B5B957E}">
  <sheetPr codeName="Sheet8">
    <pageSetUpPr fitToPage="1"/>
  </sheetPr>
  <dimension ref="B1:AL60"/>
  <sheetViews>
    <sheetView showGridLines="0" zoomScaleNormal="100" workbookViewId="0">
      <selection activeCell="H28" sqref="H28"/>
    </sheetView>
  </sheetViews>
  <sheetFormatPr defaultRowHeight="15" outlineLevelRow="1" outlineLevelCol="1" x14ac:dyDescent="0.25"/>
  <cols>
    <col min="1" max="1" width="2.28515625" customWidth="1"/>
    <col min="11" max="12" width="8.85546875" customWidth="1"/>
    <col min="13" max="13" width="10.5703125" customWidth="1"/>
    <col min="14" max="14" width="2.28515625" customWidth="1"/>
    <col min="15" max="19" width="9.85546875" customWidth="1" outlineLevel="1"/>
    <col min="20" max="20" width="2.28515625" customWidth="1" outlineLevel="1"/>
    <col min="30" max="30" width="2.5703125" customWidth="1"/>
    <col min="32" max="32" width="9.140625" hidden="1" customWidth="1"/>
  </cols>
  <sheetData>
    <row r="1" spans="2:38" ht="15.75" thickBot="1" x14ac:dyDescent="0.3"/>
    <row r="2" spans="2:38" ht="15.75" thickBot="1" x14ac:dyDescent="0.3">
      <c r="B2" s="1372" t="str">
        <f>UPPER(Summary!E7)&amp; " HOUSING INCOME"</f>
        <v xml:space="preserve"> HOUSING INCOME</v>
      </c>
      <c r="C2" s="1373"/>
      <c r="D2" s="1373"/>
      <c r="E2" s="1373"/>
      <c r="F2" s="1373"/>
      <c r="G2" s="1373"/>
      <c r="H2" s="1373"/>
      <c r="I2" s="1373"/>
      <c r="J2" s="1373"/>
      <c r="K2" s="1373"/>
      <c r="L2" s="1373"/>
      <c r="M2" s="1374"/>
      <c r="O2" s="1233" t="s">
        <v>99</v>
      </c>
      <c r="P2" s="1234"/>
      <c r="Q2" s="1234"/>
      <c r="R2" s="1234"/>
      <c r="S2" s="1235"/>
      <c r="U2" s="1233" t="s">
        <v>513</v>
      </c>
      <c r="V2" s="1234"/>
      <c r="W2" s="1234"/>
      <c r="X2" s="1234"/>
      <c r="Y2" s="1234"/>
      <c r="Z2" s="1234"/>
      <c r="AA2" s="1234"/>
      <c r="AB2" s="1234"/>
      <c r="AC2" s="1234"/>
      <c r="AD2" s="1234"/>
      <c r="AE2" s="1234"/>
      <c r="AF2" s="1234"/>
      <c r="AG2" s="1234"/>
      <c r="AH2" s="1234"/>
      <c r="AI2" s="1234"/>
      <c r="AJ2" s="1234"/>
      <c r="AK2" s="1234"/>
      <c r="AL2" s="1235"/>
    </row>
    <row r="3" spans="2:38" ht="15.75" thickBot="1" x14ac:dyDescent="0.3"/>
    <row r="4" spans="2:38" x14ac:dyDescent="0.25">
      <c r="B4" s="1379" t="s">
        <v>512</v>
      </c>
      <c r="C4" s="1380"/>
      <c r="D4" s="1380"/>
      <c r="E4" s="1380"/>
      <c r="F4" s="1380"/>
      <c r="G4" s="1380"/>
      <c r="H4" s="1380"/>
      <c r="I4" s="1380"/>
      <c r="J4" s="1380"/>
      <c r="K4" s="1380"/>
      <c r="L4" s="1380"/>
      <c r="M4" s="1381"/>
      <c r="O4" s="482"/>
      <c r="P4" s="483"/>
      <c r="Q4" s="483"/>
      <c r="R4" s="483"/>
      <c r="S4" s="484"/>
      <c r="U4" s="1394" t="s">
        <v>194</v>
      </c>
      <c r="V4" s="1395"/>
      <c r="W4" s="1395"/>
      <c r="X4" s="1395"/>
      <c r="Y4" s="1395"/>
      <c r="Z4" s="1395"/>
      <c r="AA4" s="1395"/>
      <c r="AB4" s="1395"/>
      <c r="AC4" s="1396"/>
      <c r="AE4" s="1387" t="s">
        <v>182</v>
      </c>
      <c r="AF4" s="1388"/>
      <c r="AG4" s="1389"/>
      <c r="AH4" s="1389"/>
      <c r="AI4" s="1389"/>
      <c r="AJ4" s="1389"/>
      <c r="AK4" s="1389"/>
      <c r="AL4" s="1390"/>
    </row>
    <row r="5" spans="2:38" ht="26.25" customHeight="1" x14ac:dyDescent="0.25">
      <c r="B5" s="1375" t="s">
        <v>498</v>
      </c>
      <c r="C5" s="1376"/>
      <c r="D5" s="308" t="s">
        <v>499</v>
      </c>
      <c r="E5" s="308" t="s">
        <v>500</v>
      </c>
      <c r="F5" s="308" t="s">
        <v>501</v>
      </c>
      <c r="G5" s="308" t="s">
        <v>502</v>
      </c>
      <c r="H5" s="308" t="s">
        <v>185</v>
      </c>
      <c r="I5" s="308" t="s">
        <v>186</v>
      </c>
      <c r="J5" s="308" t="s">
        <v>187</v>
      </c>
      <c r="K5" s="308" t="s">
        <v>188</v>
      </c>
      <c r="L5" s="308" t="s">
        <v>503</v>
      </c>
      <c r="M5" s="309" t="s">
        <v>504</v>
      </c>
      <c r="O5" s="488"/>
      <c r="P5" s="486"/>
      <c r="Q5" s="486"/>
      <c r="R5" s="486"/>
      <c r="S5" s="487"/>
      <c r="U5" s="1397" t="s">
        <v>189</v>
      </c>
      <c r="V5" s="1398"/>
      <c r="W5" s="1398"/>
      <c r="X5" s="1399"/>
      <c r="Y5" s="125" t="s">
        <v>184</v>
      </c>
      <c r="Z5" s="126" t="s">
        <v>185</v>
      </c>
      <c r="AA5" s="127" t="s">
        <v>186</v>
      </c>
      <c r="AB5" s="126" t="s">
        <v>187</v>
      </c>
      <c r="AC5" s="128" t="s">
        <v>188</v>
      </c>
      <c r="AE5" s="124"/>
      <c r="AF5" s="658"/>
      <c r="AG5" s="1391" t="s">
        <v>183</v>
      </c>
      <c r="AH5" s="1392"/>
      <c r="AI5" s="1392"/>
      <c r="AJ5" s="1392"/>
      <c r="AK5" s="1392"/>
      <c r="AL5" s="1393"/>
    </row>
    <row r="6" spans="2:38" x14ac:dyDescent="0.25">
      <c r="B6" s="1377" t="s">
        <v>505</v>
      </c>
      <c r="C6" s="1378"/>
      <c r="D6" s="310"/>
      <c r="E6" s="1166"/>
      <c r="F6" s="1166"/>
      <c r="G6" s="1166"/>
      <c r="H6" s="1166"/>
      <c r="I6" s="1166"/>
      <c r="J6" s="1166"/>
      <c r="K6" s="1166"/>
      <c r="L6" s="1166"/>
      <c r="M6" s="1167"/>
      <c r="O6" s="488"/>
      <c r="P6" s="486"/>
      <c r="Q6" s="486"/>
      <c r="R6" s="486"/>
      <c r="S6" s="487"/>
      <c r="U6" s="1382">
        <v>0.3</v>
      </c>
      <c r="V6" s="1383"/>
      <c r="W6" s="1383"/>
      <c r="X6" s="1384"/>
      <c r="Y6" s="132" t="e">
        <f>ROUNDDOWN(AG7/12*0.3,)</f>
        <v>#N/A</v>
      </c>
      <c r="Z6" s="132" t="e">
        <f>ROUNDDOWN(AVERAGE(AG7:AH7)/12*0.3,)</f>
        <v>#N/A</v>
      </c>
      <c r="AA6" s="132" t="e">
        <f>ROUNDDOWN(AI7/12*0.3,)</f>
        <v>#N/A</v>
      </c>
      <c r="AB6" s="132" t="e">
        <f>ROUNDDOWN(AVERAGE(AJ7:AK7)/12*0.3,)</f>
        <v>#N/A</v>
      </c>
      <c r="AC6" s="133" t="e">
        <f>ROUNDDOWN(AL7/12*0.3,)</f>
        <v>#N/A</v>
      </c>
      <c r="AE6" s="129" t="s">
        <v>189</v>
      </c>
      <c r="AF6" s="682" t="s">
        <v>798</v>
      </c>
      <c r="AG6" s="130">
        <v>1</v>
      </c>
      <c r="AH6" s="130">
        <v>2</v>
      </c>
      <c r="AI6" s="130">
        <v>3</v>
      </c>
      <c r="AJ6" s="130">
        <v>4</v>
      </c>
      <c r="AK6" s="130">
        <v>5</v>
      </c>
      <c r="AL6" s="131">
        <v>6</v>
      </c>
    </row>
    <row r="7" spans="2:38" x14ac:dyDescent="0.25">
      <c r="B7" s="1377" t="s">
        <v>506</v>
      </c>
      <c r="C7" s="1378"/>
      <c r="D7" s="310"/>
      <c r="E7" s="1166"/>
      <c r="F7" s="1166"/>
      <c r="G7" s="1166"/>
      <c r="H7" s="1166"/>
      <c r="I7" s="1166"/>
      <c r="J7" s="1166"/>
      <c r="K7" s="1166"/>
      <c r="L7" s="1166"/>
      <c r="M7" s="1167"/>
      <c r="O7" s="488"/>
      <c r="P7" s="486"/>
      <c r="Q7" s="486"/>
      <c r="R7" s="486"/>
      <c r="S7" s="487"/>
      <c r="U7" s="1382">
        <v>0.4</v>
      </c>
      <c r="V7" s="1383"/>
      <c r="W7" s="1383"/>
      <c r="X7" s="1384"/>
      <c r="Y7" s="132" t="e">
        <f t="shared" ref="Y7:Y11" si="0">ROUNDDOWN(AG8/12*0.3,)</f>
        <v>#N/A</v>
      </c>
      <c r="Z7" s="132" t="e">
        <f t="shared" ref="Z7:Z11" si="1">ROUNDDOWN(AVERAGE(AG8:AH8)/12*0.3,)</f>
        <v>#N/A</v>
      </c>
      <c r="AA7" s="132" t="e">
        <f t="shared" ref="AA7:AA11" si="2">ROUNDDOWN(AI8/12*0.3,)</f>
        <v>#N/A</v>
      </c>
      <c r="AB7" s="132" t="e">
        <f t="shared" ref="AB7:AB11" si="3">ROUNDDOWN(AVERAGE(AJ8:AK8)/12*0.3,)</f>
        <v>#N/A</v>
      </c>
      <c r="AC7" s="133" t="e">
        <f t="shared" ref="AC7:AC11" si="4">ROUNDDOWN(AL8/12*0.3,)</f>
        <v>#N/A</v>
      </c>
      <c r="AE7" s="134">
        <v>0.3</v>
      </c>
      <c r="AF7" s="657">
        <f>AE7/50%</f>
        <v>0.6</v>
      </c>
      <c r="AG7" s="132" t="e">
        <f t="shared" ref="AG7:AI8" si="5">AG$9*$AF7</f>
        <v>#N/A</v>
      </c>
      <c r="AH7" s="132" t="e">
        <f t="shared" si="5"/>
        <v>#N/A</v>
      </c>
      <c r="AI7" s="132" t="e">
        <f>AI$9*$AF7</f>
        <v>#N/A</v>
      </c>
      <c r="AJ7" s="132" t="e">
        <f t="shared" ref="AJ7:AL8" si="6">AJ$9*$AF7</f>
        <v>#N/A</v>
      </c>
      <c r="AK7" s="132" t="e">
        <f t="shared" si="6"/>
        <v>#N/A</v>
      </c>
      <c r="AL7" s="133" t="e">
        <f t="shared" si="6"/>
        <v>#N/A</v>
      </c>
    </row>
    <row r="8" spans="2:38" x14ac:dyDescent="0.25">
      <c r="B8" s="1377" t="s">
        <v>507</v>
      </c>
      <c r="C8" s="1378"/>
      <c r="D8" s="310"/>
      <c r="E8" s="1166"/>
      <c r="F8" s="1166"/>
      <c r="G8" s="1166"/>
      <c r="H8" s="1166"/>
      <c r="I8" s="1166"/>
      <c r="J8" s="1166"/>
      <c r="K8" s="1166"/>
      <c r="L8" s="1166"/>
      <c r="M8" s="1167"/>
      <c r="O8" s="488"/>
      <c r="P8" s="486"/>
      <c r="Q8" s="486"/>
      <c r="R8" s="486"/>
      <c r="S8" s="487"/>
      <c r="U8" s="1382">
        <v>0.5</v>
      </c>
      <c r="V8" s="1383"/>
      <c r="W8" s="1383"/>
      <c r="X8" s="1384"/>
      <c r="Y8" s="132" t="e">
        <f t="shared" si="0"/>
        <v>#N/A</v>
      </c>
      <c r="Z8" s="132" t="e">
        <f t="shared" si="1"/>
        <v>#N/A</v>
      </c>
      <c r="AA8" s="132" t="e">
        <f t="shared" si="2"/>
        <v>#N/A</v>
      </c>
      <c r="AB8" s="132" t="e">
        <f t="shared" si="3"/>
        <v>#N/A</v>
      </c>
      <c r="AC8" s="133" t="e">
        <f t="shared" si="4"/>
        <v>#N/A</v>
      </c>
      <c r="AE8" s="134">
        <v>0.4</v>
      </c>
      <c r="AF8" s="657">
        <f t="shared" ref="AF8:AF12" si="7">AE8/50%</f>
        <v>0.8</v>
      </c>
      <c r="AG8" s="132" t="e">
        <f t="shared" si="5"/>
        <v>#N/A</v>
      </c>
      <c r="AH8" s="132" t="e">
        <f t="shared" si="5"/>
        <v>#N/A</v>
      </c>
      <c r="AI8" s="132" t="e">
        <f t="shared" si="5"/>
        <v>#N/A</v>
      </c>
      <c r="AJ8" s="132" t="e">
        <f t="shared" si="6"/>
        <v>#N/A</v>
      </c>
      <c r="AK8" s="132" t="e">
        <f t="shared" si="6"/>
        <v>#N/A</v>
      </c>
      <c r="AL8" s="133" t="e">
        <f t="shared" si="6"/>
        <v>#N/A</v>
      </c>
    </row>
    <row r="9" spans="2:38" x14ac:dyDescent="0.25">
      <c r="B9" s="1377" t="s">
        <v>508</v>
      </c>
      <c r="C9" s="1378"/>
      <c r="D9" s="713"/>
      <c r="E9" s="1166"/>
      <c r="F9" s="1166"/>
      <c r="G9" s="1166"/>
      <c r="H9" s="1166"/>
      <c r="I9" s="1166"/>
      <c r="J9" s="1166"/>
      <c r="K9" s="1166"/>
      <c r="L9" s="1166"/>
      <c r="M9" s="1167"/>
      <c r="O9" s="488"/>
      <c r="P9" s="486"/>
      <c r="Q9" s="486"/>
      <c r="R9" s="486"/>
      <c r="S9" s="487"/>
      <c r="U9" s="1382">
        <v>0.6</v>
      </c>
      <c r="V9" s="1383"/>
      <c r="W9" s="1383"/>
      <c r="X9" s="1384"/>
      <c r="Y9" s="132" t="e">
        <f t="shared" si="0"/>
        <v>#N/A</v>
      </c>
      <c r="Z9" s="132" t="e">
        <f t="shared" si="1"/>
        <v>#N/A</v>
      </c>
      <c r="AA9" s="132" t="e">
        <f t="shared" si="2"/>
        <v>#N/A</v>
      </c>
      <c r="AB9" s="132" t="e">
        <f t="shared" si="3"/>
        <v>#N/A</v>
      </c>
      <c r="AC9" s="133" t="e">
        <f t="shared" si="4"/>
        <v>#N/A</v>
      </c>
      <c r="AE9" s="134">
        <v>0.5</v>
      </c>
      <c r="AF9" s="657">
        <f t="shared" si="7"/>
        <v>1</v>
      </c>
      <c r="AG9" s="132" t="e">
        <f>ROUNDUP((AJ9*0.7)*2,-2)/2</f>
        <v>#N/A</v>
      </c>
      <c r="AH9" s="132" t="e">
        <f>ROUNDUP((AJ9*0.8)*2,-2)/2</f>
        <v>#N/A</v>
      </c>
      <c r="AI9" s="132" t="e">
        <f>ROUNDUP((AJ9*0.9)*2,-2)/2</f>
        <v>#N/A</v>
      </c>
      <c r="AJ9" s="59" t="e">
        <f>VLOOKUP(Summary!$E$10,MTSP2025!A:J,10,FALSE)</f>
        <v>#N/A</v>
      </c>
      <c r="AK9" s="132" t="e">
        <f>ROUNDUP((AJ9*1.08)*2,-2)/2</f>
        <v>#N/A</v>
      </c>
      <c r="AL9" s="133" t="e">
        <f>ROUNDUP((AJ9*1.16)*2,-2)/2</f>
        <v>#N/A</v>
      </c>
    </row>
    <row r="10" spans="2:38" x14ac:dyDescent="0.25">
      <c r="B10" s="1377" t="s">
        <v>509</v>
      </c>
      <c r="C10" s="1378"/>
      <c r="D10" s="713"/>
      <c r="E10" s="1166"/>
      <c r="F10" s="1166"/>
      <c r="G10" s="1166"/>
      <c r="H10" s="1166"/>
      <c r="I10" s="1166"/>
      <c r="J10" s="1166"/>
      <c r="K10" s="1166"/>
      <c r="L10" s="1166"/>
      <c r="M10" s="1167"/>
      <c r="O10" s="488"/>
      <c r="P10" s="486"/>
      <c r="Q10" s="486"/>
      <c r="R10" s="486"/>
      <c r="S10" s="487"/>
      <c r="U10" s="1382">
        <v>0.7</v>
      </c>
      <c r="V10" s="1383"/>
      <c r="W10" s="1383"/>
      <c r="X10" s="1384"/>
      <c r="Y10" s="132" t="e">
        <f t="shared" si="0"/>
        <v>#N/A</v>
      </c>
      <c r="Z10" s="132" t="e">
        <f t="shared" si="1"/>
        <v>#N/A</v>
      </c>
      <c r="AA10" s="132" t="e">
        <f t="shared" si="2"/>
        <v>#N/A</v>
      </c>
      <c r="AB10" s="132" t="e">
        <f t="shared" si="3"/>
        <v>#N/A</v>
      </c>
      <c r="AC10" s="133" t="e">
        <f t="shared" si="4"/>
        <v>#N/A</v>
      </c>
      <c r="AE10" s="134">
        <v>0.6</v>
      </c>
      <c r="AF10" s="657">
        <f t="shared" si="7"/>
        <v>1.2</v>
      </c>
      <c r="AG10" s="132" t="e">
        <f t="shared" ref="AG10:AL12" si="8">AG$9*$AF10</f>
        <v>#N/A</v>
      </c>
      <c r="AH10" s="132" t="e">
        <f t="shared" si="8"/>
        <v>#N/A</v>
      </c>
      <c r="AI10" s="132" t="e">
        <f t="shared" si="8"/>
        <v>#N/A</v>
      </c>
      <c r="AJ10" s="132" t="e">
        <f t="shared" si="8"/>
        <v>#N/A</v>
      </c>
      <c r="AK10" s="132" t="e">
        <f t="shared" si="8"/>
        <v>#N/A</v>
      </c>
      <c r="AL10" s="133" t="e">
        <f t="shared" si="8"/>
        <v>#N/A</v>
      </c>
    </row>
    <row r="11" spans="2:38" x14ac:dyDescent="0.25">
      <c r="B11" s="1377" t="s">
        <v>510</v>
      </c>
      <c r="C11" s="1378"/>
      <c r="D11" s="713"/>
      <c r="E11" s="1166"/>
      <c r="F11" s="1166"/>
      <c r="G11" s="1166"/>
      <c r="H11" s="1166"/>
      <c r="I11" s="1166"/>
      <c r="J11" s="1166"/>
      <c r="K11" s="1166"/>
      <c r="L11" s="1166"/>
      <c r="M11" s="1167"/>
      <c r="O11" s="488"/>
      <c r="P11" s="486"/>
      <c r="Q11" s="486"/>
      <c r="R11" s="486"/>
      <c r="S11" s="487"/>
      <c r="U11" s="1382">
        <v>0.8</v>
      </c>
      <c r="V11" s="1383"/>
      <c r="W11" s="1383"/>
      <c r="X11" s="1384"/>
      <c r="Y11" s="132" t="e">
        <f t="shared" si="0"/>
        <v>#N/A</v>
      </c>
      <c r="Z11" s="132" t="e">
        <f t="shared" si="1"/>
        <v>#N/A</v>
      </c>
      <c r="AA11" s="132" t="e">
        <f t="shared" si="2"/>
        <v>#N/A</v>
      </c>
      <c r="AB11" s="132" t="e">
        <f t="shared" si="3"/>
        <v>#N/A</v>
      </c>
      <c r="AC11" s="133" t="e">
        <f t="shared" si="4"/>
        <v>#N/A</v>
      </c>
      <c r="AE11" s="134">
        <v>0.7</v>
      </c>
      <c r="AF11" s="657">
        <f t="shared" si="7"/>
        <v>1.4</v>
      </c>
      <c r="AG11" s="132" t="e">
        <f t="shared" si="8"/>
        <v>#N/A</v>
      </c>
      <c r="AH11" s="132" t="e">
        <f t="shared" si="8"/>
        <v>#N/A</v>
      </c>
      <c r="AI11" s="132" t="e">
        <f t="shared" si="8"/>
        <v>#N/A</v>
      </c>
      <c r="AJ11" s="132" t="e">
        <f t="shared" si="8"/>
        <v>#N/A</v>
      </c>
      <c r="AK11" s="132" t="e">
        <f t="shared" si="8"/>
        <v>#N/A</v>
      </c>
      <c r="AL11" s="133" t="e">
        <f t="shared" si="8"/>
        <v>#N/A</v>
      </c>
    </row>
    <row r="12" spans="2:38" x14ac:dyDescent="0.25">
      <c r="B12" s="1377" t="s">
        <v>511</v>
      </c>
      <c r="C12" s="1378"/>
      <c r="D12" s="713"/>
      <c r="E12" s="1166"/>
      <c r="F12" s="1166"/>
      <c r="G12" s="1166"/>
      <c r="H12" s="1166"/>
      <c r="I12" s="1166"/>
      <c r="J12" s="1166"/>
      <c r="K12" s="1166"/>
      <c r="L12" s="1166"/>
      <c r="M12" s="1167"/>
      <c r="O12" s="488"/>
      <c r="P12" s="486"/>
      <c r="Q12" s="486"/>
      <c r="R12" s="486"/>
      <c r="S12" s="487"/>
      <c r="U12" s="1382" t="s">
        <v>190</v>
      </c>
      <c r="V12" s="1383"/>
      <c r="W12" s="1383"/>
      <c r="X12" s="1384"/>
      <c r="Y12" s="136"/>
      <c r="Z12" s="136"/>
      <c r="AA12" s="136"/>
      <c r="AB12" s="136"/>
      <c r="AC12" s="137"/>
      <c r="AE12" s="134">
        <v>0.8</v>
      </c>
      <c r="AF12" s="657">
        <f t="shared" si="7"/>
        <v>1.6</v>
      </c>
      <c r="AG12" s="132" t="e">
        <f t="shared" si="8"/>
        <v>#N/A</v>
      </c>
      <c r="AH12" s="132" t="e">
        <f t="shared" si="8"/>
        <v>#N/A</v>
      </c>
      <c r="AI12" s="132" t="e">
        <f t="shared" si="8"/>
        <v>#N/A</v>
      </c>
      <c r="AJ12" s="132" t="e">
        <f t="shared" si="8"/>
        <v>#N/A</v>
      </c>
      <c r="AK12" s="132" t="e">
        <f t="shared" si="8"/>
        <v>#N/A</v>
      </c>
      <c r="AL12" s="133" t="e">
        <f t="shared" si="8"/>
        <v>#N/A</v>
      </c>
    </row>
    <row r="13" spans="2:38" ht="15.75" thickBot="1" x14ac:dyDescent="0.3">
      <c r="B13" s="1377" t="s">
        <v>13</v>
      </c>
      <c r="C13" s="1378"/>
      <c r="D13" s="713"/>
      <c r="E13" s="1166"/>
      <c r="F13" s="1166"/>
      <c r="G13" s="1166"/>
      <c r="H13" s="1166"/>
      <c r="I13" s="1166"/>
      <c r="J13" s="1166"/>
      <c r="K13" s="1166"/>
      <c r="L13" s="1166"/>
      <c r="M13" s="1167"/>
      <c r="O13" s="488"/>
      <c r="P13" s="486"/>
      <c r="Q13" s="486"/>
      <c r="R13" s="486"/>
      <c r="S13" s="487"/>
      <c r="U13" s="1382" t="s">
        <v>192</v>
      </c>
      <c r="V13" s="1383"/>
      <c r="W13" s="1383"/>
      <c r="X13" s="1384"/>
      <c r="Y13" s="136"/>
      <c r="Z13" s="136"/>
      <c r="AA13" s="136"/>
      <c r="AB13" s="136"/>
      <c r="AC13" s="137"/>
      <c r="AE13" s="135" t="s">
        <v>191</v>
      </c>
      <c r="AF13" s="683"/>
      <c r="AG13" s="1385" t="s">
        <v>1013</v>
      </c>
      <c r="AH13" s="1385"/>
      <c r="AI13" s="1385"/>
      <c r="AJ13" s="1385"/>
      <c r="AK13" s="1385"/>
      <c r="AL13" s="1386"/>
    </row>
    <row r="14" spans="2:38" ht="15.75" thickBot="1" x14ac:dyDescent="0.3">
      <c r="B14" s="1228" t="s">
        <v>36</v>
      </c>
      <c r="C14" s="1229"/>
      <c r="D14" s="311"/>
      <c r="E14" s="312">
        <f>SUM(E6:E13)</f>
        <v>0</v>
      </c>
      <c r="F14" s="312">
        <f t="shared" ref="F14:M14" si="9">SUM(F6:F13)</f>
        <v>0</v>
      </c>
      <c r="G14" s="312">
        <f t="shared" si="9"/>
        <v>0</v>
      </c>
      <c r="H14" s="312">
        <f t="shared" si="9"/>
        <v>0</v>
      </c>
      <c r="I14" s="312">
        <f t="shared" si="9"/>
        <v>0</v>
      </c>
      <c r="J14" s="312">
        <f t="shared" si="9"/>
        <v>0</v>
      </c>
      <c r="K14" s="312">
        <f t="shared" si="9"/>
        <v>0</v>
      </c>
      <c r="L14" s="312">
        <f t="shared" si="9"/>
        <v>0</v>
      </c>
      <c r="M14" s="16">
        <f t="shared" si="9"/>
        <v>0</v>
      </c>
      <c r="O14" s="488"/>
      <c r="P14" s="486"/>
      <c r="Q14" s="486"/>
      <c r="R14" s="486"/>
      <c r="S14" s="487"/>
      <c r="U14" s="1382" t="s">
        <v>193</v>
      </c>
      <c r="V14" s="1383"/>
      <c r="W14" s="1383"/>
      <c r="X14" s="1384"/>
      <c r="Y14" s="136"/>
      <c r="Z14" s="136"/>
      <c r="AA14" s="136"/>
      <c r="AB14" s="136"/>
      <c r="AC14" s="137"/>
    </row>
    <row r="15" spans="2:38" ht="15.75" thickBot="1" x14ac:dyDescent="0.3">
      <c r="B15" s="378" t="s">
        <v>191</v>
      </c>
      <c r="C15" s="379"/>
      <c r="D15" s="379"/>
      <c r="E15" s="379"/>
      <c r="F15" s="379"/>
      <c r="G15" s="379"/>
      <c r="H15" s="379"/>
      <c r="I15" s="379"/>
      <c r="J15" s="379"/>
      <c r="K15" s="379"/>
      <c r="L15" s="379"/>
      <c r="M15" s="380"/>
      <c r="O15" s="488"/>
      <c r="P15" s="486"/>
      <c r="Q15" s="486"/>
      <c r="R15" s="486"/>
      <c r="S15" s="487"/>
      <c r="U15" s="307" t="s">
        <v>191</v>
      </c>
      <c r="V15" s="1400"/>
      <c r="W15" s="1400"/>
      <c r="X15" s="1400"/>
      <c r="Y15" s="1400"/>
      <c r="Z15" s="1400"/>
      <c r="AA15" s="1400"/>
      <c r="AB15" s="1400"/>
      <c r="AC15" s="1401"/>
    </row>
    <row r="16" spans="2:38" ht="15.75" thickBot="1" x14ac:dyDescent="0.3">
      <c r="O16" s="488"/>
      <c r="P16" s="486"/>
      <c r="Q16" s="486"/>
      <c r="R16" s="486"/>
      <c r="S16" s="487"/>
    </row>
    <row r="17" spans="2:34" ht="15.75" thickBot="1" x14ac:dyDescent="0.3">
      <c r="B17" s="1372" t="s">
        <v>84</v>
      </c>
      <c r="C17" s="1373"/>
      <c r="D17" s="1373"/>
      <c r="E17" s="1373"/>
      <c r="F17" s="1373"/>
      <c r="G17" s="1373"/>
      <c r="H17" s="1373"/>
      <c r="I17" s="1373"/>
      <c r="J17" s="1373"/>
      <c r="K17" s="1373"/>
      <c r="L17" s="1373"/>
      <c r="M17" s="1374"/>
      <c r="O17" s="488"/>
      <c r="P17" s="486"/>
      <c r="Q17" s="486"/>
      <c r="R17" s="486"/>
      <c r="S17" s="487"/>
      <c r="U17" s="1394" t="s">
        <v>195</v>
      </c>
      <c r="V17" s="1395"/>
      <c r="W17" s="1395"/>
      <c r="X17" s="1395"/>
      <c r="Y17" s="1395"/>
      <c r="Z17" s="1395"/>
      <c r="AA17" s="1395"/>
      <c r="AB17" s="1395"/>
      <c r="AC17" s="1402"/>
    </row>
    <row r="18" spans="2:34" ht="39" x14ac:dyDescent="0.25">
      <c r="B18" s="305" t="s">
        <v>0</v>
      </c>
      <c r="C18" s="306" t="s">
        <v>1</v>
      </c>
      <c r="D18" s="14" t="s">
        <v>41</v>
      </c>
      <c r="E18" s="14" t="s">
        <v>4</v>
      </c>
      <c r="F18" s="14" t="s">
        <v>97</v>
      </c>
      <c r="G18" s="14" t="s">
        <v>310</v>
      </c>
      <c r="H18" s="14" t="s">
        <v>3</v>
      </c>
      <c r="I18" s="14" t="s">
        <v>2</v>
      </c>
      <c r="J18" s="14" t="s">
        <v>35</v>
      </c>
      <c r="K18" s="14" t="s">
        <v>43</v>
      </c>
      <c r="L18" s="1080" t="s">
        <v>863</v>
      </c>
      <c r="M18" s="15" t="s">
        <v>96</v>
      </c>
      <c r="O18" s="488"/>
      <c r="P18" s="486"/>
      <c r="Q18" s="486"/>
      <c r="R18" s="486"/>
      <c r="S18" s="487"/>
      <c r="U18" s="1214" t="s">
        <v>198</v>
      </c>
      <c r="V18" s="1215"/>
      <c r="W18" s="1216"/>
      <c r="X18" s="1403" t="s">
        <v>199</v>
      </c>
      <c r="Y18" s="1216"/>
      <c r="Z18" s="1403" t="s">
        <v>200</v>
      </c>
      <c r="AA18" s="1216"/>
      <c r="AB18" s="1403" t="s">
        <v>201</v>
      </c>
      <c r="AC18" s="1404"/>
    </row>
    <row r="19" spans="2:34" x14ac:dyDescent="0.25">
      <c r="B19" s="57"/>
      <c r="C19" s="58"/>
      <c r="D19" s="59"/>
      <c r="E19" s="59"/>
      <c r="F19" s="60"/>
      <c r="G19" s="60"/>
      <c r="H19" s="59"/>
      <c r="I19" s="59"/>
      <c r="J19" s="12">
        <f>SUM(H19:I19)</f>
        <v>0</v>
      </c>
      <c r="K19" s="1078"/>
      <c r="L19" s="1079"/>
      <c r="M19" s="216">
        <f>D19*H19*12</f>
        <v>0</v>
      </c>
      <c r="O19" s="488"/>
      <c r="P19" s="486"/>
      <c r="Q19" s="486"/>
      <c r="R19" s="486"/>
      <c r="S19" s="487"/>
      <c r="U19" s="217" t="s">
        <v>196</v>
      </c>
      <c r="V19" s="22" t="s">
        <v>203</v>
      </c>
      <c r="W19" s="22" t="s">
        <v>197</v>
      </c>
      <c r="X19" s="22" t="s">
        <v>197</v>
      </c>
      <c r="Y19" s="22" t="s">
        <v>202</v>
      </c>
      <c r="Z19" s="22" t="s">
        <v>197</v>
      </c>
      <c r="AA19" s="22" t="s">
        <v>202</v>
      </c>
      <c r="AB19" s="22" t="s">
        <v>197</v>
      </c>
      <c r="AC19" s="23" t="s">
        <v>202</v>
      </c>
    </row>
    <row r="20" spans="2:34" x14ac:dyDescent="0.25">
      <c r="B20" s="57"/>
      <c r="C20" s="58"/>
      <c r="D20" s="59"/>
      <c r="E20" s="59"/>
      <c r="F20" s="649"/>
      <c r="G20" s="649"/>
      <c r="H20" s="59"/>
      <c r="I20" s="59"/>
      <c r="J20" s="12">
        <f t="shared" ref="J20:J33" si="10">SUM(H20:I20)</f>
        <v>0</v>
      </c>
      <c r="K20" s="1078"/>
      <c r="L20" s="1079"/>
      <c r="M20" s="216">
        <f t="shared" ref="M20" si="11">D20*H20*12</f>
        <v>0</v>
      </c>
      <c r="O20" s="488"/>
      <c r="P20" s="486"/>
      <c r="Q20" s="486"/>
      <c r="R20" s="486"/>
      <c r="S20" s="487"/>
      <c r="U20" s="218">
        <f t="shared" ref="U20:U34" si="12">B19</f>
        <v>0</v>
      </c>
      <c r="V20" s="138">
        <f t="shared" ref="V20:V34" si="13">G19</f>
        <v>0</v>
      </c>
      <c r="W20" s="219">
        <f t="shared" ref="W20:W34" si="14">H19</f>
        <v>0</v>
      </c>
      <c r="X20" s="219">
        <f t="shared" ref="X20:X34" si="15">MAX(IFERROR(VLOOKUP(G19,$U$6:$AC$11,B19+5)-I19,0),0)</f>
        <v>0</v>
      </c>
      <c r="Y20" s="140">
        <f>IF(AND($W20&gt;0,X20&gt;0),$W20/X20-1,)</f>
        <v>0</v>
      </c>
      <c r="Z20" s="504">
        <f t="shared" ref="Z20:Z34" si="16">MAX(IF(D19&gt;0,IFERROR(VLOOKUP($U$13,$U$13:$AC$13,B19+5)-I19,0),0),0)</f>
        <v>0</v>
      </c>
      <c r="AA20" s="140">
        <f>IF(AND($W20&gt;0,Z20&gt;0),$W20/Z20-1,)</f>
        <v>0</v>
      </c>
      <c r="AB20" s="139"/>
      <c r="AC20" s="141">
        <f>IF(AND($W20&gt;0,AB20&gt;0),$W20/AB20-1,)</f>
        <v>0</v>
      </c>
    </row>
    <row r="21" spans="2:34" x14ac:dyDescent="0.25">
      <c r="B21" s="57"/>
      <c r="C21" s="58"/>
      <c r="D21" s="59"/>
      <c r="E21" s="59"/>
      <c r="F21" s="60"/>
      <c r="G21" s="60"/>
      <c r="H21" s="59"/>
      <c r="I21" s="59"/>
      <c r="J21" s="12">
        <f t="shared" si="10"/>
        <v>0</v>
      </c>
      <c r="K21" s="1078"/>
      <c r="L21" s="1079"/>
      <c r="M21" s="216">
        <f t="shared" ref="M21:M33" si="17">D21*H21*12</f>
        <v>0</v>
      </c>
      <c r="O21" s="488"/>
      <c r="P21" s="486"/>
      <c r="Q21" s="486"/>
      <c r="R21" s="486"/>
      <c r="S21" s="487"/>
      <c r="U21" s="218">
        <f t="shared" si="12"/>
        <v>0</v>
      </c>
      <c r="V21" s="138">
        <f t="shared" si="13"/>
        <v>0</v>
      </c>
      <c r="W21" s="219">
        <f t="shared" si="14"/>
        <v>0</v>
      </c>
      <c r="X21" s="219">
        <f t="shared" si="15"/>
        <v>0</v>
      </c>
      <c r="Y21" s="140">
        <f>IF(AND($W21&gt;0,X21&gt;0),$W21/X21-1,)</f>
        <v>0</v>
      </c>
      <c r="Z21" s="504">
        <f t="shared" si="16"/>
        <v>0</v>
      </c>
      <c r="AA21" s="140">
        <f>IF(AND($W21&gt;0,Z21&gt;0),$W21/Z21-1,)</f>
        <v>0</v>
      </c>
      <c r="AB21" s="139"/>
      <c r="AC21" s="141">
        <f>IF(AND($W21&gt;0,AB21&gt;0),$W21/AB21-1,)</f>
        <v>0</v>
      </c>
    </row>
    <row r="22" spans="2:34" x14ac:dyDescent="0.25">
      <c r="B22" s="57"/>
      <c r="C22" s="58"/>
      <c r="D22" s="59"/>
      <c r="E22" s="59"/>
      <c r="F22" s="649"/>
      <c r="G22" s="649"/>
      <c r="H22" s="59"/>
      <c r="I22" s="59"/>
      <c r="J22" s="12">
        <f t="shared" si="10"/>
        <v>0</v>
      </c>
      <c r="K22" s="1078"/>
      <c r="L22" s="1079"/>
      <c r="M22" s="216">
        <f t="shared" si="17"/>
        <v>0</v>
      </c>
      <c r="O22" s="488"/>
      <c r="P22" s="486"/>
      <c r="Q22" s="486"/>
      <c r="R22" s="486"/>
      <c r="S22" s="487"/>
      <c r="U22" s="218">
        <f t="shared" si="12"/>
        <v>0</v>
      </c>
      <c r="V22" s="138">
        <f t="shared" si="13"/>
        <v>0</v>
      </c>
      <c r="W22" s="219">
        <f t="shared" si="14"/>
        <v>0</v>
      </c>
      <c r="X22" s="219">
        <f t="shared" si="15"/>
        <v>0</v>
      </c>
      <c r="Y22" s="140">
        <f t="shared" ref="Y22:Y34" si="18">IF(AND($W22&gt;0,X22&gt;0),$W22/X22-1,)</f>
        <v>0</v>
      </c>
      <c r="Z22" s="504">
        <f t="shared" si="16"/>
        <v>0</v>
      </c>
      <c r="AA22" s="140">
        <f t="shared" ref="AA22:AA34" si="19">IF(AND($W22&gt;0,Z22&gt;0),$W22/Z22-1,)</f>
        <v>0</v>
      </c>
      <c r="AB22" s="139"/>
      <c r="AC22" s="141">
        <f t="shared" ref="AC22:AC34" si="20">IF(AND($W22&gt;0,AB22&gt;0),$W22/AB22-1,)</f>
        <v>0</v>
      </c>
      <c r="AH22" s="313"/>
    </row>
    <row r="23" spans="2:34" x14ac:dyDescent="0.25">
      <c r="B23" s="57"/>
      <c r="C23" s="58"/>
      <c r="D23" s="59"/>
      <c r="E23" s="59"/>
      <c r="F23" s="608"/>
      <c r="G23" s="608"/>
      <c r="H23" s="59"/>
      <c r="I23" s="59"/>
      <c r="J23" s="12">
        <f t="shared" si="10"/>
        <v>0</v>
      </c>
      <c r="K23" s="1078"/>
      <c r="L23" s="1079"/>
      <c r="M23" s="216">
        <f t="shared" si="17"/>
        <v>0</v>
      </c>
      <c r="O23" s="488"/>
      <c r="P23" s="486"/>
      <c r="Q23" s="486"/>
      <c r="R23" s="486"/>
      <c r="S23" s="487"/>
      <c r="U23" s="218">
        <f t="shared" si="12"/>
        <v>0</v>
      </c>
      <c r="V23" s="138">
        <f t="shared" si="13"/>
        <v>0</v>
      </c>
      <c r="W23" s="219">
        <f t="shared" si="14"/>
        <v>0</v>
      </c>
      <c r="X23" s="219">
        <f t="shared" si="15"/>
        <v>0</v>
      </c>
      <c r="Y23" s="140">
        <f t="shared" si="18"/>
        <v>0</v>
      </c>
      <c r="Z23" s="504">
        <f t="shared" si="16"/>
        <v>0</v>
      </c>
      <c r="AA23" s="140">
        <f t="shared" si="19"/>
        <v>0</v>
      </c>
      <c r="AB23" s="139"/>
      <c r="AC23" s="141">
        <f t="shared" si="20"/>
        <v>0</v>
      </c>
      <c r="AH23" s="313"/>
    </row>
    <row r="24" spans="2:34" x14ac:dyDescent="0.25">
      <c r="B24" s="57"/>
      <c r="C24" s="58"/>
      <c r="D24" s="59"/>
      <c r="E24" s="59"/>
      <c r="F24" s="649"/>
      <c r="G24" s="649"/>
      <c r="H24" s="59"/>
      <c r="I24" s="59"/>
      <c r="J24" s="12">
        <f t="shared" si="10"/>
        <v>0</v>
      </c>
      <c r="K24" s="1078"/>
      <c r="L24" s="1079"/>
      <c r="M24" s="216">
        <f t="shared" si="17"/>
        <v>0</v>
      </c>
      <c r="O24" s="488"/>
      <c r="P24" s="486"/>
      <c r="Q24" s="486"/>
      <c r="R24" s="486"/>
      <c r="S24" s="487"/>
      <c r="U24" s="218">
        <f t="shared" si="12"/>
        <v>0</v>
      </c>
      <c r="V24" s="138">
        <f t="shared" si="13"/>
        <v>0</v>
      </c>
      <c r="W24" s="219">
        <f t="shared" si="14"/>
        <v>0</v>
      </c>
      <c r="X24" s="219">
        <f t="shared" si="15"/>
        <v>0</v>
      </c>
      <c r="Y24" s="140">
        <f t="shared" si="18"/>
        <v>0</v>
      </c>
      <c r="Z24" s="504">
        <f t="shared" si="16"/>
        <v>0</v>
      </c>
      <c r="AA24" s="140">
        <f t="shared" si="19"/>
        <v>0</v>
      </c>
      <c r="AB24" s="139"/>
      <c r="AC24" s="141">
        <f t="shared" si="20"/>
        <v>0</v>
      </c>
      <c r="AH24" s="313"/>
    </row>
    <row r="25" spans="2:34" x14ac:dyDescent="0.25">
      <c r="B25" s="57"/>
      <c r="C25" s="58"/>
      <c r="D25" s="59"/>
      <c r="E25" s="59"/>
      <c r="F25" s="649"/>
      <c r="G25" s="649"/>
      <c r="H25" s="59"/>
      <c r="I25" s="59"/>
      <c r="J25" s="12">
        <f t="shared" si="10"/>
        <v>0</v>
      </c>
      <c r="K25" s="1078"/>
      <c r="L25" s="1079"/>
      <c r="M25" s="216">
        <f t="shared" si="17"/>
        <v>0</v>
      </c>
      <c r="O25" s="488"/>
      <c r="P25" s="486"/>
      <c r="Q25" s="486"/>
      <c r="R25" s="486"/>
      <c r="S25" s="487"/>
      <c r="U25" s="218">
        <f t="shared" si="12"/>
        <v>0</v>
      </c>
      <c r="V25" s="138">
        <f t="shared" si="13"/>
        <v>0</v>
      </c>
      <c r="W25" s="219">
        <f t="shared" si="14"/>
        <v>0</v>
      </c>
      <c r="X25" s="219">
        <f t="shared" si="15"/>
        <v>0</v>
      </c>
      <c r="Y25" s="140">
        <f t="shared" si="18"/>
        <v>0</v>
      </c>
      <c r="Z25" s="504">
        <f t="shared" si="16"/>
        <v>0</v>
      </c>
      <c r="AA25" s="140">
        <f t="shared" si="19"/>
        <v>0</v>
      </c>
      <c r="AB25" s="139"/>
      <c r="AC25" s="141">
        <f t="shared" si="20"/>
        <v>0</v>
      </c>
      <c r="AH25" s="313"/>
    </row>
    <row r="26" spans="2:34" x14ac:dyDescent="0.25">
      <c r="B26" s="57"/>
      <c r="C26" s="58"/>
      <c r="D26" s="59"/>
      <c r="E26" s="59"/>
      <c r="F26" s="649"/>
      <c r="G26" s="649"/>
      <c r="H26" s="59"/>
      <c r="I26" s="59"/>
      <c r="J26" s="12">
        <f t="shared" si="10"/>
        <v>0</v>
      </c>
      <c r="K26" s="1078"/>
      <c r="L26" s="1079"/>
      <c r="M26" s="216">
        <f t="shared" si="17"/>
        <v>0</v>
      </c>
      <c r="O26" s="488"/>
      <c r="P26" s="486"/>
      <c r="Q26" s="486"/>
      <c r="R26" s="486"/>
      <c r="S26" s="487"/>
      <c r="U26" s="218">
        <f t="shared" si="12"/>
        <v>0</v>
      </c>
      <c r="V26" s="138">
        <f t="shared" si="13"/>
        <v>0</v>
      </c>
      <c r="W26" s="219">
        <f t="shared" si="14"/>
        <v>0</v>
      </c>
      <c r="X26" s="219">
        <f t="shared" si="15"/>
        <v>0</v>
      </c>
      <c r="Y26" s="140">
        <f t="shared" si="18"/>
        <v>0</v>
      </c>
      <c r="Z26" s="504">
        <f t="shared" si="16"/>
        <v>0</v>
      </c>
      <c r="AA26" s="140">
        <f t="shared" si="19"/>
        <v>0</v>
      </c>
      <c r="AB26" s="139"/>
      <c r="AC26" s="141">
        <f t="shared" si="20"/>
        <v>0</v>
      </c>
      <c r="AH26" s="313"/>
    </row>
    <row r="27" spans="2:34" outlineLevel="1" x14ac:dyDescent="0.25">
      <c r="B27" s="57"/>
      <c r="C27" s="58"/>
      <c r="D27" s="59"/>
      <c r="E27" s="59"/>
      <c r="F27" s="649"/>
      <c r="G27" s="649"/>
      <c r="H27" s="59"/>
      <c r="I27" s="59"/>
      <c r="J27" s="12">
        <f t="shared" si="10"/>
        <v>0</v>
      </c>
      <c r="K27" s="1078"/>
      <c r="L27" s="1079"/>
      <c r="M27" s="216">
        <f t="shared" si="17"/>
        <v>0</v>
      </c>
      <c r="O27" s="488"/>
      <c r="P27" s="486"/>
      <c r="Q27" s="486"/>
      <c r="R27" s="486"/>
      <c r="S27" s="487"/>
      <c r="U27" s="218">
        <f t="shared" si="12"/>
        <v>0</v>
      </c>
      <c r="V27" s="138">
        <f t="shared" si="13"/>
        <v>0</v>
      </c>
      <c r="W27" s="219">
        <f t="shared" si="14"/>
        <v>0</v>
      </c>
      <c r="X27" s="219">
        <f t="shared" si="15"/>
        <v>0</v>
      </c>
      <c r="Y27" s="140">
        <f t="shared" si="18"/>
        <v>0</v>
      </c>
      <c r="Z27" s="504">
        <f t="shared" si="16"/>
        <v>0</v>
      </c>
      <c r="AA27" s="140">
        <f t="shared" si="19"/>
        <v>0</v>
      </c>
      <c r="AB27" s="139"/>
      <c r="AC27" s="141">
        <f t="shared" si="20"/>
        <v>0</v>
      </c>
    </row>
    <row r="28" spans="2:34" outlineLevel="1" x14ac:dyDescent="0.25">
      <c r="B28" s="57"/>
      <c r="C28" s="58"/>
      <c r="D28" s="59"/>
      <c r="E28" s="59"/>
      <c r="F28" s="60"/>
      <c r="G28" s="60"/>
      <c r="H28" s="59"/>
      <c r="I28" s="59"/>
      <c r="J28" s="12">
        <f t="shared" si="10"/>
        <v>0</v>
      </c>
      <c r="K28" s="1078"/>
      <c r="L28" s="1079"/>
      <c r="M28" s="216">
        <f t="shared" si="17"/>
        <v>0</v>
      </c>
      <c r="O28" s="488"/>
      <c r="P28" s="486"/>
      <c r="Q28" s="486"/>
      <c r="R28" s="486"/>
      <c r="S28" s="487"/>
      <c r="U28" s="218">
        <f t="shared" si="12"/>
        <v>0</v>
      </c>
      <c r="V28" s="138">
        <f t="shared" si="13"/>
        <v>0</v>
      </c>
      <c r="W28" s="219">
        <f t="shared" si="14"/>
        <v>0</v>
      </c>
      <c r="X28" s="219">
        <f t="shared" si="15"/>
        <v>0</v>
      </c>
      <c r="Y28" s="140">
        <f t="shared" si="18"/>
        <v>0</v>
      </c>
      <c r="Z28" s="504">
        <f t="shared" si="16"/>
        <v>0</v>
      </c>
      <c r="AA28" s="140">
        <f t="shared" si="19"/>
        <v>0</v>
      </c>
      <c r="AB28" s="139"/>
      <c r="AC28" s="141">
        <f t="shared" si="20"/>
        <v>0</v>
      </c>
    </row>
    <row r="29" spans="2:34" outlineLevel="1" x14ac:dyDescent="0.25">
      <c r="B29" s="57"/>
      <c r="C29" s="58"/>
      <c r="D29" s="59"/>
      <c r="E29" s="59"/>
      <c r="F29" s="60"/>
      <c r="G29" s="60"/>
      <c r="H29" s="59"/>
      <c r="I29" s="59"/>
      <c r="J29" s="12">
        <f t="shared" si="10"/>
        <v>0</v>
      </c>
      <c r="K29" s="1078"/>
      <c r="L29" s="1079"/>
      <c r="M29" s="216">
        <f t="shared" si="17"/>
        <v>0</v>
      </c>
      <c r="O29" s="488"/>
      <c r="P29" s="486"/>
      <c r="Q29" s="486"/>
      <c r="R29" s="486"/>
      <c r="S29" s="487"/>
      <c r="U29" s="218">
        <f t="shared" si="12"/>
        <v>0</v>
      </c>
      <c r="V29" s="138">
        <f t="shared" si="13"/>
        <v>0</v>
      </c>
      <c r="W29" s="219">
        <f t="shared" si="14"/>
        <v>0</v>
      </c>
      <c r="X29" s="219">
        <f t="shared" si="15"/>
        <v>0</v>
      </c>
      <c r="Y29" s="140">
        <f t="shared" si="18"/>
        <v>0</v>
      </c>
      <c r="Z29" s="504">
        <f t="shared" si="16"/>
        <v>0</v>
      </c>
      <c r="AA29" s="140">
        <f t="shared" si="19"/>
        <v>0</v>
      </c>
      <c r="AB29" s="139"/>
      <c r="AC29" s="141">
        <f t="shared" si="20"/>
        <v>0</v>
      </c>
    </row>
    <row r="30" spans="2:34" outlineLevel="1" x14ac:dyDescent="0.25">
      <c r="B30" s="57"/>
      <c r="C30" s="58"/>
      <c r="D30" s="59"/>
      <c r="E30" s="59"/>
      <c r="F30" s="60"/>
      <c r="G30" s="60"/>
      <c r="H30" s="59"/>
      <c r="I30" s="59"/>
      <c r="J30" s="12">
        <f t="shared" si="10"/>
        <v>0</v>
      </c>
      <c r="K30" s="1078"/>
      <c r="L30" s="1079"/>
      <c r="M30" s="216">
        <f t="shared" si="17"/>
        <v>0</v>
      </c>
      <c r="O30" s="488"/>
      <c r="P30" s="486"/>
      <c r="Q30" s="486"/>
      <c r="R30" s="486"/>
      <c r="S30" s="487"/>
      <c r="U30" s="218">
        <f t="shared" si="12"/>
        <v>0</v>
      </c>
      <c r="V30" s="138">
        <f t="shared" si="13"/>
        <v>0</v>
      </c>
      <c r="W30" s="219">
        <f t="shared" si="14"/>
        <v>0</v>
      </c>
      <c r="X30" s="219">
        <f t="shared" si="15"/>
        <v>0</v>
      </c>
      <c r="Y30" s="140">
        <f t="shared" si="18"/>
        <v>0</v>
      </c>
      <c r="Z30" s="504">
        <f t="shared" si="16"/>
        <v>0</v>
      </c>
      <c r="AA30" s="140">
        <f t="shared" si="19"/>
        <v>0</v>
      </c>
      <c r="AB30" s="139"/>
      <c r="AC30" s="141">
        <f t="shared" si="20"/>
        <v>0</v>
      </c>
    </row>
    <row r="31" spans="2:34" outlineLevel="1" x14ac:dyDescent="0.25">
      <c r="B31" s="57"/>
      <c r="C31" s="58"/>
      <c r="D31" s="59"/>
      <c r="E31" s="59"/>
      <c r="F31" s="60"/>
      <c r="G31" s="60"/>
      <c r="H31" s="59"/>
      <c r="I31" s="59"/>
      <c r="J31" s="12">
        <f t="shared" si="10"/>
        <v>0</v>
      </c>
      <c r="K31" s="1078"/>
      <c r="L31" s="1079"/>
      <c r="M31" s="216">
        <f t="shared" si="17"/>
        <v>0</v>
      </c>
      <c r="O31" s="488"/>
      <c r="P31" s="486"/>
      <c r="Q31" s="486"/>
      <c r="R31" s="486"/>
      <c r="S31" s="487"/>
      <c r="U31" s="218">
        <f t="shared" si="12"/>
        <v>0</v>
      </c>
      <c r="V31" s="138">
        <f t="shared" si="13"/>
        <v>0</v>
      </c>
      <c r="W31" s="219">
        <f t="shared" si="14"/>
        <v>0</v>
      </c>
      <c r="X31" s="219">
        <f t="shared" si="15"/>
        <v>0</v>
      </c>
      <c r="Y31" s="140">
        <f t="shared" si="18"/>
        <v>0</v>
      </c>
      <c r="Z31" s="504">
        <f t="shared" si="16"/>
        <v>0</v>
      </c>
      <c r="AA31" s="140">
        <f t="shared" si="19"/>
        <v>0</v>
      </c>
      <c r="AB31" s="139"/>
      <c r="AC31" s="141">
        <f t="shared" si="20"/>
        <v>0</v>
      </c>
    </row>
    <row r="32" spans="2:34" outlineLevel="1" x14ac:dyDescent="0.25">
      <c r="B32" s="57"/>
      <c r="C32" s="58"/>
      <c r="D32" s="59"/>
      <c r="E32" s="59"/>
      <c r="F32" s="60"/>
      <c r="G32" s="60"/>
      <c r="H32" s="59"/>
      <c r="I32" s="59"/>
      <c r="J32" s="12">
        <f t="shared" si="10"/>
        <v>0</v>
      </c>
      <c r="K32" s="1078"/>
      <c r="L32" s="1079"/>
      <c r="M32" s="216">
        <f t="shared" si="17"/>
        <v>0</v>
      </c>
      <c r="O32" s="488"/>
      <c r="P32" s="486"/>
      <c r="Q32" s="486"/>
      <c r="R32" s="486"/>
      <c r="S32" s="487"/>
      <c r="U32" s="218">
        <f t="shared" si="12"/>
        <v>0</v>
      </c>
      <c r="V32" s="138">
        <f t="shared" si="13"/>
        <v>0</v>
      </c>
      <c r="W32" s="219">
        <f t="shared" si="14"/>
        <v>0</v>
      </c>
      <c r="X32" s="219">
        <f t="shared" si="15"/>
        <v>0</v>
      </c>
      <c r="Y32" s="140">
        <f t="shared" si="18"/>
        <v>0</v>
      </c>
      <c r="Z32" s="504">
        <f t="shared" si="16"/>
        <v>0</v>
      </c>
      <c r="AA32" s="140">
        <f t="shared" si="19"/>
        <v>0</v>
      </c>
      <c r="AB32" s="139"/>
      <c r="AC32" s="141">
        <f t="shared" si="20"/>
        <v>0</v>
      </c>
    </row>
    <row r="33" spans="2:29" outlineLevel="1" x14ac:dyDescent="0.25">
      <c r="B33" s="57"/>
      <c r="C33" s="58"/>
      <c r="D33" s="59"/>
      <c r="E33" s="59"/>
      <c r="F33" s="60"/>
      <c r="G33" s="60"/>
      <c r="H33" s="59"/>
      <c r="I33" s="59"/>
      <c r="J33" s="12">
        <f t="shared" si="10"/>
        <v>0</v>
      </c>
      <c r="K33" s="1078"/>
      <c r="L33" s="1079"/>
      <c r="M33" s="216">
        <f t="shared" si="17"/>
        <v>0</v>
      </c>
      <c r="O33" s="488"/>
      <c r="P33" s="486"/>
      <c r="Q33" s="486"/>
      <c r="R33" s="486"/>
      <c r="S33" s="487"/>
      <c r="U33" s="218">
        <f t="shared" si="12"/>
        <v>0</v>
      </c>
      <c r="V33" s="138">
        <f t="shared" si="13"/>
        <v>0</v>
      </c>
      <c r="W33" s="219">
        <f t="shared" si="14"/>
        <v>0</v>
      </c>
      <c r="X33" s="219">
        <f t="shared" si="15"/>
        <v>0</v>
      </c>
      <c r="Y33" s="140">
        <f t="shared" si="18"/>
        <v>0</v>
      </c>
      <c r="Z33" s="504">
        <f t="shared" si="16"/>
        <v>0</v>
      </c>
      <c r="AA33" s="140">
        <f t="shared" si="19"/>
        <v>0</v>
      </c>
      <c r="AB33" s="139"/>
      <c r="AC33" s="141">
        <f t="shared" si="20"/>
        <v>0</v>
      </c>
    </row>
    <row r="34" spans="2:29" ht="15.75" thickBot="1" x14ac:dyDescent="0.3">
      <c r="B34" s="17" t="s">
        <v>5</v>
      </c>
      <c r="C34" s="13"/>
      <c r="D34" s="18">
        <f>SUM(D19:D33)</f>
        <v>0</v>
      </c>
      <c r="E34" s="13"/>
      <c r="F34" s="13"/>
      <c r="G34" s="13"/>
      <c r="H34" s="13"/>
      <c r="I34" s="13"/>
      <c r="J34" s="13"/>
      <c r="K34" s="1335"/>
      <c r="L34" s="1336"/>
      <c r="M34" s="16">
        <f>SUM(M19:M33)</f>
        <v>0</v>
      </c>
      <c r="O34" s="495"/>
      <c r="P34" s="496"/>
      <c r="Q34" s="496"/>
      <c r="R34" s="496"/>
      <c r="S34" s="497"/>
      <c r="U34" s="593">
        <f t="shared" si="12"/>
        <v>0</v>
      </c>
      <c r="V34" s="594">
        <f t="shared" si="13"/>
        <v>0</v>
      </c>
      <c r="W34" s="595">
        <f t="shared" si="14"/>
        <v>0</v>
      </c>
      <c r="X34" s="595">
        <f t="shared" si="15"/>
        <v>0</v>
      </c>
      <c r="Y34" s="596">
        <f t="shared" si="18"/>
        <v>0</v>
      </c>
      <c r="Z34" s="597">
        <f t="shared" si="16"/>
        <v>0</v>
      </c>
      <c r="AA34" s="596">
        <f t="shared" si="19"/>
        <v>0</v>
      </c>
      <c r="AB34" s="598"/>
      <c r="AC34" s="599">
        <f t="shared" si="20"/>
        <v>0</v>
      </c>
    </row>
    <row r="35" spans="2:29" ht="15.75" thickBot="1" x14ac:dyDescent="0.3"/>
    <row r="36" spans="2:29" ht="15.75" thickBot="1" x14ac:dyDescent="0.3">
      <c r="B36" s="1356" t="s">
        <v>711</v>
      </c>
      <c r="C36" s="1357"/>
      <c r="D36" s="1358"/>
      <c r="E36" s="302"/>
      <c r="F36" s="1356" t="s">
        <v>712</v>
      </c>
      <c r="G36" s="1357"/>
      <c r="H36" s="1357"/>
      <c r="I36" s="1357"/>
      <c r="J36" s="1357"/>
      <c r="K36" s="1357"/>
      <c r="L36" s="1358"/>
      <c r="AB36" s="2"/>
      <c r="AC36" s="1"/>
    </row>
    <row r="37" spans="2:29" x14ac:dyDescent="0.25">
      <c r="B37" s="612" t="s">
        <v>196</v>
      </c>
      <c r="C37" s="607" t="s">
        <v>41</v>
      </c>
      <c r="D37" s="609" t="s">
        <v>713</v>
      </c>
      <c r="E37" s="302"/>
      <c r="F37" s="1370"/>
      <c r="G37" s="1371"/>
      <c r="H37" s="1371"/>
      <c r="I37" s="1368" t="s">
        <v>714</v>
      </c>
      <c r="J37" s="1369"/>
      <c r="K37" s="1359" t="s">
        <v>715</v>
      </c>
      <c r="L37" s="1360"/>
      <c r="AB37" s="2"/>
      <c r="AC37" s="2"/>
    </row>
    <row r="38" spans="2:29" ht="15" customHeight="1" x14ac:dyDescent="0.25">
      <c r="B38" s="606">
        <v>0</v>
      </c>
      <c r="C38" s="303">
        <f>SUMIFS($D$19:$D$33,$B$19:$B$33,B38)</f>
        <v>0</v>
      </c>
      <c r="D38" s="614">
        <f>IFERROR(C38/$C$44,0)</f>
        <v>0</v>
      </c>
      <c r="E38" s="302"/>
      <c r="F38" s="1364" t="s">
        <v>716</v>
      </c>
      <c r="G38" s="1365"/>
      <c r="H38" s="1365"/>
      <c r="I38" s="620" t="s">
        <v>41</v>
      </c>
      <c r="J38" s="607" t="s">
        <v>713</v>
      </c>
      <c r="K38" s="607" t="s">
        <v>41</v>
      </c>
      <c r="L38" s="609" t="s">
        <v>713</v>
      </c>
      <c r="Z38" s="2"/>
      <c r="AA38" s="2"/>
    </row>
    <row r="39" spans="2:29" x14ac:dyDescent="0.25">
      <c r="B39" s="606">
        <v>1</v>
      </c>
      <c r="C39" s="303">
        <f t="shared" ref="C39:C43" si="21">SUMIFS($D$19:$D$33,$B$19:$B$33,B39)</f>
        <v>0</v>
      </c>
      <c r="D39" s="614">
        <f t="shared" ref="D39:D43" si="22">IFERROR(C39/$C$44,0)</f>
        <v>0</v>
      </c>
      <c r="E39" s="302"/>
      <c r="F39" s="1366">
        <v>0.3</v>
      </c>
      <c r="G39" s="1367"/>
      <c r="H39" s="1367"/>
      <c r="I39" s="603">
        <f>SUMIFS($D$19:$D$33,$G$19:$G$33,$F39)</f>
        <v>0</v>
      </c>
      <c r="J39" s="388">
        <f>IFERROR(I39/$D$34,0)</f>
        <v>0</v>
      </c>
      <c r="K39" s="303">
        <f>SUMIFS($D$19:$D$33,$F$19:$F$33,$F39)</f>
        <v>0</v>
      </c>
      <c r="L39" s="614">
        <f t="shared" ref="L39" si="23">IFERROR(K39/$D$34,0)</f>
        <v>0</v>
      </c>
      <c r="Z39" s="2"/>
      <c r="AA39" s="2"/>
    </row>
    <row r="40" spans="2:29" x14ac:dyDescent="0.25">
      <c r="B40" s="606">
        <v>2</v>
      </c>
      <c r="C40" s="303">
        <f t="shared" si="21"/>
        <v>0</v>
      </c>
      <c r="D40" s="614">
        <f t="shared" si="22"/>
        <v>0</v>
      </c>
      <c r="E40" s="302"/>
      <c r="F40" s="1366">
        <v>0.4</v>
      </c>
      <c r="G40" s="1367"/>
      <c r="H40" s="1367"/>
      <c r="I40" s="603">
        <f t="shared" ref="I40:I45" si="24">SUMIFS($D$19:$D$33,$G$19:$G$33,$F40)</f>
        <v>0</v>
      </c>
      <c r="J40" s="388">
        <f t="shared" ref="J40:J45" si="25">IFERROR(I40/$D$34,0)</f>
        <v>0</v>
      </c>
      <c r="K40" s="303">
        <f t="shared" ref="K40:K45" si="26">SUMIFS($D$19:$D$33,$F$19:$F$33,$F40)</f>
        <v>0</v>
      </c>
      <c r="L40" s="614">
        <f t="shared" ref="L40:L45" si="27">IFERROR(K40/$D$34,0)</f>
        <v>0</v>
      </c>
      <c r="Z40" s="2"/>
      <c r="AA40" s="2"/>
    </row>
    <row r="41" spans="2:29" x14ac:dyDescent="0.25">
      <c r="B41" s="606">
        <v>3</v>
      </c>
      <c r="C41" s="303">
        <f t="shared" si="21"/>
        <v>0</v>
      </c>
      <c r="D41" s="614">
        <f t="shared" si="22"/>
        <v>0</v>
      </c>
      <c r="E41" s="302"/>
      <c r="F41" s="1366">
        <v>0.5</v>
      </c>
      <c r="G41" s="1367"/>
      <c r="H41" s="1367"/>
      <c r="I41" s="603">
        <f t="shared" si="24"/>
        <v>0</v>
      </c>
      <c r="J41" s="388">
        <f t="shared" si="25"/>
        <v>0</v>
      </c>
      <c r="K41" s="303">
        <f t="shared" si="26"/>
        <v>0</v>
      </c>
      <c r="L41" s="614">
        <f t="shared" si="27"/>
        <v>0</v>
      </c>
      <c r="Z41" s="2"/>
      <c r="AA41" s="2"/>
    </row>
    <row r="42" spans="2:29" x14ac:dyDescent="0.25">
      <c r="B42" s="606">
        <v>4</v>
      </c>
      <c r="C42" s="303">
        <f t="shared" si="21"/>
        <v>0</v>
      </c>
      <c r="D42" s="614">
        <f t="shared" si="22"/>
        <v>0</v>
      </c>
      <c r="E42" s="302"/>
      <c r="F42" s="1366">
        <v>0.6</v>
      </c>
      <c r="G42" s="1367"/>
      <c r="H42" s="1367"/>
      <c r="I42" s="603">
        <f t="shared" si="24"/>
        <v>0</v>
      </c>
      <c r="J42" s="388">
        <f t="shared" si="25"/>
        <v>0</v>
      </c>
      <c r="K42" s="303">
        <f t="shared" si="26"/>
        <v>0</v>
      </c>
      <c r="L42" s="614">
        <f t="shared" si="27"/>
        <v>0</v>
      </c>
      <c r="Z42" s="2"/>
      <c r="AA42" s="2"/>
    </row>
    <row r="43" spans="2:29" x14ac:dyDescent="0.25">
      <c r="B43" s="606">
        <v>5</v>
      </c>
      <c r="C43" s="303">
        <f t="shared" si="21"/>
        <v>0</v>
      </c>
      <c r="D43" s="614">
        <f t="shared" si="22"/>
        <v>0</v>
      </c>
      <c r="E43" s="302"/>
      <c r="F43" s="1366">
        <v>0.7</v>
      </c>
      <c r="G43" s="1367"/>
      <c r="H43" s="1367"/>
      <c r="I43" s="603">
        <f t="shared" si="24"/>
        <v>0</v>
      </c>
      <c r="J43" s="388">
        <f t="shared" si="25"/>
        <v>0</v>
      </c>
      <c r="K43" s="303">
        <f t="shared" si="26"/>
        <v>0</v>
      </c>
      <c r="L43" s="614">
        <f t="shared" si="27"/>
        <v>0</v>
      </c>
      <c r="Z43" s="2"/>
      <c r="AA43" s="2"/>
    </row>
    <row r="44" spans="2:29" ht="15.75" thickBot="1" x14ac:dyDescent="0.3">
      <c r="B44" s="613" t="s">
        <v>36</v>
      </c>
      <c r="C44" s="610">
        <f>SUM(C38:C43)</f>
        <v>0</v>
      </c>
      <c r="D44" s="611">
        <f>SUM(D38:D43)</f>
        <v>0</v>
      </c>
      <c r="E44" s="302"/>
      <c r="F44" s="1366">
        <v>0.8</v>
      </c>
      <c r="G44" s="1367"/>
      <c r="H44" s="1367"/>
      <c r="I44" s="603">
        <f t="shared" si="24"/>
        <v>0</v>
      </c>
      <c r="J44" s="388">
        <f t="shared" si="25"/>
        <v>0</v>
      </c>
      <c r="K44" s="303">
        <f t="shared" si="26"/>
        <v>0</v>
      </c>
      <c r="L44" s="614">
        <f t="shared" si="27"/>
        <v>0</v>
      </c>
      <c r="Z44" s="2"/>
      <c r="AA44" s="2"/>
    </row>
    <row r="45" spans="2:29" x14ac:dyDescent="0.25">
      <c r="B45" s="302"/>
      <c r="C45" s="302"/>
      <c r="D45" s="302"/>
      <c r="E45" s="302"/>
      <c r="F45" s="1283" t="s">
        <v>201</v>
      </c>
      <c r="G45" s="1194"/>
      <c r="H45" s="1194"/>
      <c r="I45" s="603">
        <f t="shared" si="24"/>
        <v>0</v>
      </c>
      <c r="J45" s="388">
        <f t="shared" si="25"/>
        <v>0</v>
      </c>
      <c r="K45" s="303">
        <f t="shared" si="26"/>
        <v>0</v>
      </c>
      <c r="L45" s="614">
        <f t="shared" si="27"/>
        <v>0</v>
      </c>
    </row>
    <row r="46" spans="2:29" ht="15.75" thickBot="1" x14ac:dyDescent="0.3">
      <c r="B46" s="302"/>
      <c r="C46" s="302"/>
      <c r="D46" s="302"/>
      <c r="E46" s="302"/>
      <c r="F46" s="1354" t="s">
        <v>36</v>
      </c>
      <c r="G46" s="1355"/>
      <c r="H46" s="1355"/>
      <c r="I46" s="684">
        <f>SUM(I39:I45)</f>
        <v>0</v>
      </c>
      <c r="J46" s="685">
        <f>SUM(J39:J45)</f>
        <v>0</v>
      </c>
      <c r="K46" s="686">
        <f>SUM(K39:K45)</f>
        <v>0</v>
      </c>
      <c r="L46" s="687">
        <f>SUM(L39:L45)</f>
        <v>0</v>
      </c>
    </row>
    <row r="47" spans="2:29" ht="15" customHeight="1" thickBot="1" x14ac:dyDescent="0.3">
      <c r="B47" s="302"/>
      <c r="C47" s="302"/>
      <c r="D47" s="302"/>
      <c r="E47" s="302"/>
      <c r="F47" s="638" t="s">
        <v>799</v>
      </c>
      <c r="G47" s="617"/>
      <c r="H47" s="617"/>
      <c r="I47" s="617"/>
      <c r="J47" s="688" t="e">
        <f>SUMPRODUCT($F$39:$F$44,I39:I44)/I46</f>
        <v>#DIV/0!</v>
      </c>
      <c r="K47" s="617"/>
      <c r="L47" s="619" t="e">
        <f>SUMPRODUCT($F$39:$F$44,K39:K44)/K46</f>
        <v>#DIV/0!</v>
      </c>
    </row>
    <row r="48" spans="2:29" ht="15.75" thickBot="1" x14ac:dyDescent="0.3">
      <c r="B48" s="302"/>
      <c r="C48" s="302"/>
      <c r="D48" s="302"/>
      <c r="E48" s="302"/>
      <c r="F48" s="302"/>
      <c r="G48" s="302"/>
      <c r="H48" s="302"/>
      <c r="I48" s="302"/>
      <c r="J48" s="302"/>
      <c r="K48" s="302"/>
    </row>
    <row r="49" spans="2:11" x14ac:dyDescent="0.25">
      <c r="B49" s="302"/>
      <c r="C49" s="302"/>
      <c r="D49" s="302"/>
      <c r="E49" s="302"/>
      <c r="F49" s="1361" t="s">
        <v>717</v>
      </c>
      <c r="G49" s="1362"/>
      <c r="H49" s="1362"/>
      <c r="I49" s="1362"/>
      <c r="J49" s="1363"/>
      <c r="K49" s="302"/>
    </row>
    <row r="50" spans="2:11" x14ac:dyDescent="0.25">
      <c r="B50" s="302"/>
      <c r="C50" s="302"/>
      <c r="D50" s="302"/>
      <c r="E50" s="302"/>
      <c r="F50" s="1351" t="s">
        <v>721</v>
      </c>
      <c r="G50" s="1352"/>
      <c r="H50" s="1353"/>
      <c r="I50" s="607" t="s">
        <v>41</v>
      </c>
      <c r="J50" s="609" t="s">
        <v>713</v>
      </c>
      <c r="K50" s="302"/>
    </row>
    <row r="51" spans="2:11" x14ac:dyDescent="0.25">
      <c r="B51" s="302"/>
      <c r="C51" s="302"/>
      <c r="D51" s="302"/>
      <c r="E51" s="302"/>
      <c r="F51" s="1308" t="s">
        <v>796</v>
      </c>
      <c r="G51" s="1194"/>
      <c r="H51" s="1194"/>
      <c r="I51" s="303">
        <f>SUMIFS($D$19:$D$33,$K$19:$K$33,"&lt;&gt;" &amp; "",$G$19:$G$33,"&gt;" &amp; "30%")</f>
        <v>0</v>
      </c>
      <c r="J51" s="614">
        <f>IFERROR(I51/$D$34,0)</f>
        <v>0</v>
      </c>
      <c r="K51" s="302"/>
    </row>
    <row r="52" spans="2:11" x14ac:dyDescent="0.25">
      <c r="B52" s="302"/>
      <c r="C52" s="302"/>
      <c r="D52" s="302"/>
      <c r="E52" s="302"/>
      <c r="F52" s="662" t="s">
        <v>797</v>
      </c>
      <c r="G52" s="680"/>
      <c r="H52" s="681"/>
      <c r="I52" s="303">
        <f>SUMIFS($D$19:$D$33,$G$19:$G$33,"=" &amp; "30%")</f>
        <v>0</v>
      </c>
      <c r="J52" s="614">
        <f>IFERROR(I52/$D$34,0)</f>
        <v>0</v>
      </c>
      <c r="K52" s="302"/>
    </row>
    <row r="53" spans="2:11" x14ac:dyDescent="0.25">
      <c r="B53" s="302"/>
      <c r="C53" s="302"/>
      <c r="D53" s="302"/>
      <c r="E53" s="302"/>
      <c r="F53" s="1346" t="s">
        <v>719</v>
      </c>
      <c r="G53" s="1347"/>
      <c r="H53" s="1186"/>
      <c r="I53" s="303">
        <f>SUMIFS($D$19:$D$33,$G$19:$G$33,50%,$K$19:$K$33,"=" &amp; "")</f>
        <v>0</v>
      </c>
      <c r="J53" s="614">
        <f>IFERROR(I53/$D$34,0)</f>
        <v>0</v>
      </c>
      <c r="K53" s="302"/>
    </row>
    <row r="54" spans="2:11" ht="15.75" thickBot="1" x14ac:dyDescent="0.3">
      <c r="F54" s="1348" t="s">
        <v>720</v>
      </c>
      <c r="G54" s="1349"/>
      <c r="H54" s="1350"/>
      <c r="I54" s="615">
        <f>SUMIFS($D$19:$D$33,$G$19:$G$33,"&lt;=" &amp; "80%",$K$19:$K$33,"=" &amp; "")-I53</f>
        <v>0</v>
      </c>
      <c r="J54" s="616">
        <f>IFERROR(I54/$D$34,0)</f>
        <v>0</v>
      </c>
      <c r="K54" s="302"/>
    </row>
    <row r="55" spans="2:11" ht="15.75" thickBot="1" x14ac:dyDescent="0.3">
      <c r="F55" s="1343" t="s">
        <v>718</v>
      </c>
      <c r="G55" s="1344"/>
      <c r="H55" s="1345"/>
      <c r="I55" s="617">
        <f>SUM(I51:I54)</f>
        <v>0</v>
      </c>
      <c r="J55" s="618">
        <f>IFERROR(I55/$D$34,0)</f>
        <v>0</v>
      </c>
      <c r="K55" s="302"/>
    </row>
    <row r="56" spans="2:11" ht="15.75" thickBot="1" x14ac:dyDescent="0.3">
      <c r="F56" s="1343" t="s">
        <v>466</v>
      </c>
      <c r="G56" s="1344"/>
      <c r="H56" s="1345"/>
      <c r="I56" s="617">
        <f>D34</f>
        <v>0</v>
      </c>
      <c r="J56" s="619">
        <f>IFERROR(I56/$I$56,0)</f>
        <v>0</v>
      </c>
    </row>
    <row r="57" spans="2:11" x14ac:dyDescent="0.25">
      <c r="C57" s="121"/>
      <c r="D57" s="121"/>
      <c r="E57" s="121"/>
    </row>
    <row r="60" spans="2:11" x14ac:dyDescent="0.25">
      <c r="F60" s="122"/>
    </row>
  </sheetData>
  <sheetProtection formatCells="0"/>
  <mergeCells count="57">
    <mergeCell ref="V15:AC15"/>
    <mergeCell ref="U17:AC17"/>
    <mergeCell ref="U18:W18"/>
    <mergeCell ref="X18:Y18"/>
    <mergeCell ref="Z18:AA18"/>
    <mergeCell ref="AB18:AC18"/>
    <mergeCell ref="AE4:AL4"/>
    <mergeCell ref="AG5:AL5"/>
    <mergeCell ref="U4:AC4"/>
    <mergeCell ref="U6:X6"/>
    <mergeCell ref="U8:X8"/>
    <mergeCell ref="U7:X7"/>
    <mergeCell ref="U5:X5"/>
    <mergeCell ref="B10:C10"/>
    <mergeCell ref="B11:C11"/>
    <mergeCell ref="B9:C9"/>
    <mergeCell ref="U14:X14"/>
    <mergeCell ref="AG13:AL13"/>
    <mergeCell ref="U9:X9"/>
    <mergeCell ref="U11:X11"/>
    <mergeCell ref="U12:X12"/>
    <mergeCell ref="U13:X13"/>
    <mergeCell ref="U10:X10"/>
    <mergeCell ref="B36:D36"/>
    <mergeCell ref="I37:J37"/>
    <mergeCell ref="F37:H37"/>
    <mergeCell ref="U2:AL2"/>
    <mergeCell ref="K34:L34"/>
    <mergeCell ref="B2:M2"/>
    <mergeCell ref="B5:C5"/>
    <mergeCell ref="O2:S2"/>
    <mergeCell ref="B17:M17"/>
    <mergeCell ref="B6:C6"/>
    <mergeCell ref="B7:C7"/>
    <mergeCell ref="B8:C8"/>
    <mergeCell ref="B14:C14"/>
    <mergeCell ref="B4:M4"/>
    <mergeCell ref="B12:C12"/>
    <mergeCell ref="B13:C13"/>
    <mergeCell ref="F45:H45"/>
    <mergeCell ref="F46:H46"/>
    <mergeCell ref="F36:L36"/>
    <mergeCell ref="K37:L37"/>
    <mergeCell ref="F51:H51"/>
    <mergeCell ref="F49:J49"/>
    <mergeCell ref="F38:H38"/>
    <mergeCell ref="F39:H39"/>
    <mergeCell ref="F41:H41"/>
    <mergeCell ref="F42:H42"/>
    <mergeCell ref="F44:H44"/>
    <mergeCell ref="F40:H40"/>
    <mergeCell ref="F43:H43"/>
    <mergeCell ref="F56:H56"/>
    <mergeCell ref="F53:H53"/>
    <mergeCell ref="F54:H54"/>
    <mergeCell ref="F55:H55"/>
    <mergeCell ref="F50:H50"/>
  </mergeCells>
  <printOptions horizontalCentered="1"/>
  <pageMargins left="0.7" right="0.7" top="0.75" bottom="0.75" header="0.3" footer="0.3"/>
  <pageSetup scale="96" orientation="landscape" r:id="rId1"/>
  <headerFooter>
    <oddFooter>&amp;L&amp;F</oddFooter>
  </headerFooter>
  <ignoredErrors>
    <ignoredError sqref="K39:K46" formula="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A5534F1-4DE9-4904-907E-F0BF09D71F2F}">
          <x14:formula1>
            <xm:f>Lists!$F$2:$F$8</xm:f>
          </x14:formula1>
          <xm:sqref>F19:G33</xm:sqref>
        </x14:dataValidation>
        <x14:dataValidation type="list" allowBlank="1" showInputMessage="1" showErrorMessage="1" xr:uid="{0FF4ECBC-BC76-44D7-9338-2FAB2341005F}">
          <x14:formula1>
            <xm:f>Lists!$A$1:$A$2</xm:f>
          </x14:formula1>
          <xm:sqref>L19:L33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DED3E-81C4-4904-A9D8-463D8DAA4867}">
  <sheetPr codeName="Sheet9">
    <pageSetUpPr fitToPage="1"/>
  </sheetPr>
  <dimension ref="B1:AY51"/>
  <sheetViews>
    <sheetView showGridLines="0" zoomScaleNormal="100" workbookViewId="0">
      <selection activeCell="I16" sqref="I16"/>
    </sheetView>
  </sheetViews>
  <sheetFormatPr defaultRowHeight="15" outlineLevelCol="1" x14ac:dyDescent="0.25"/>
  <cols>
    <col min="1" max="1" width="3.140625" customWidth="1"/>
    <col min="7" max="7" width="10.140625" customWidth="1"/>
    <col min="10" max="12" width="11.5703125" customWidth="1"/>
    <col min="13" max="13" width="3.140625" customWidth="1"/>
    <col min="14" max="18" width="9.140625" style="714" customWidth="1" outlineLevel="1"/>
    <col min="19" max="19" width="3.140625" customWidth="1"/>
    <col min="20" max="23" width="9.140625" customWidth="1" outlineLevel="1"/>
    <col min="24" max="24" width="10.42578125" customWidth="1" outlineLevel="1"/>
    <col min="25" max="27" width="12.140625" customWidth="1" outlineLevel="1"/>
    <col min="28" max="28" width="3.140625" customWidth="1"/>
    <col min="29" max="29" width="4.5703125" customWidth="1"/>
    <col min="30" max="35" width="9.140625" customWidth="1" outlineLevel="1"/>
    <col min="36" max="36" width="10.7109375" customWidth="1" outlineLevel="1"/>
    <col min="37" max="37" width="12.28515625" customWidth="1" outlineLevel="1"/>
    <col min="38" max="38" width="4.7109375" customWidth="1" outlineLevel="1"/>
    <col min="39" max="43" width="9.140625" customWidth="1" outlineLevel="1"/>
    <col min="44" max="44" width="10.5703125" customWidth="1" outlineLevel="1"/>
    <col min="45" max="45" width="10.28515625" customWidth="1" outlineLevel="1"/>
    <col min="46" max="46" width="10.7109375" customWidth="1" outlineLevel="1"/>
    <col min="47" max="47" width="12.28515625" customWidth="1" outlineLevel="1"/>
    <col min="48" max="48" width="16.7109375" customWidth="1" outlineLevel="1"/>
    <col min="49" max="49" width="23.140625" customWidth="1" outlineLevel="1"/>
  </cols>
  <sheetData>
    <row r="1" spans="2:51" ht="15.75" thickBot="1" x14ac:dyDescent="0.3"/>
    <row r="2" spans="2:51" ht="15.75" thickBot="1" x14ac:dyDescent="0.3">
      <c r="B2" s="1233" t="str">
        <f>UPPER(Summary!E7) &amp; " INCOME AND EXPENSES"</f>
        <v xml:space="preserve"> INCOME AND EXPENSES</v>
      </c>
      <c r="C2" s="1234"/>
      <c r="D2" s="1234"/>
      <c r="E2" s="1234"/>
      <c r="F2" s="1234"/>
      <c r="G2" s="1234"/>
      <c r="H2" s="1234"/>
      <c r="I2" s="1234"/>
      <c r="J2" s="1234"/>
      <c r="K2" s="1234"/>
      <c r="L2" s="1235"/>
      <c r="N2" s="1438" t="s">
        <v>99</v>
      </c>
      <c r="O2" s="1439"/>
      <c r="P2" s="1439"/>
      <c r="Q2" s="1439"/>
      <c r="R2" s="1440"/>
      <c r="T2" s="715" t="s">
        <v>514</v>
      </c>
      <c r="U2" s="716"/>
      <c r="V2" s="716"/>
      <c r="W2" s="716"/>
      <c r="X2" s="716"/>
      <c r="Y2" s="716"/>
      <c r="Z2" s="716"/>
      <c r="AA2" s="716"/>
      <c r="AB2" s="716"/>
      <c r="AC2" s="716"/>
      <c r="AD2" s="716"/>
      <c r="AE2" s="716"/>
      <c r="AF2" s="716"/>
      <c r="AG2" s="716"/>
      <c r="AH2" s="716"/>
      <c r="AI2" s="716"/>
      <c r="AJ2" s="716"/>
      <c r="AK2" s="716"/>
      <c r="AL2" s="716"/>
      <c r="AM2" s="716"/>
      <c r="AN2" s="716"/>
      <c r="AO2" s="716"/>
      <c r="AP2" s="716"/>
      <c r="AQ2" s="716"/>
      <c r="AR2" s="716"/>
      <c r="AS2" s="716"/>
      <c r="AT2" s="716"/>
      <c r="AU2" s="716"/>
      <c r="AV2" s="716"/>
      <c r="AW2" s="716"/>
      <c r="AX2" s="716"/>
      <c r="AY2" s="717"/>
    </row>
    <row r="3" spans="2:51" ht="15.75" customHeight="1" thickBot="1" x14ac:dyDescent="0.3">
      <c r="M3" s="2"/>
    </row>
    <row r="4" spans="2:51" ht="15.75" thickBot="1" x14ac:dyDescent="0.3">
      <c r="B4" s="1258"/>
      <c r="C4" s="1259"/>
      <c r="D4" s="1259"/>
      <c r="E4" s="1260"/>
      <c r="F4" s="1255" t="s">
        <v>34</v>
      </c>
      <c r="G4" s="1256"/>
      <c r="H4" s="1257"/>
      <c r="I4" s="1208" t="s">
        <v>699</v>
      </c>
      <c r="J4" s="1208"/>
      <c r="K4" s="1208"/>
      <c r="L4" s="1209"/>
      <c r="N4" s="697"/>
      <c r="O4" s="698"/>
      <c r="P4" s="698"/>
      <c r="Q4" s="698"/>
      <c r="R4" s="699"/>
      <c r="T4" s="1435" t="s">
        <v>582</v>
      </c>
      <c r="U4" s="1436"/>
      <c r="V4" s="1436"/>
      <c r="W4" s="1436"/>
      <c r="X4" s="1436"/>
      <c r="Y4" s="1436"/>
      <c r="Z4" s="1436"/>
      <c r="AA4" s="1437"/>
      <c r="AD4" s="1435" t="s">
        <v>458</v>
      </c>
      <c r="AE4" s="1436"/>
      <c r="AF4" s="1436"/>
      <c r="AG4" s="1436"/>
      <c r="AH4" s="1436"/>
      <c r="AI4" s="1436"/>
      <c r="AJ4" s="1437"/>
      <c r="AM4" s="1435" t="s">
        <v>492</v>
      </c>
      <c r="AN4" s="1436"/>
      <c r="AO4" s="1436"/>
      <c r="AP4" s="1436"/>
      <c r="AQ4" s="1436"/>
      <c r="AR4" s="1436"/>
      <c r="AS4" s="1436"/>
      <c r="AT4" s="1437"/>
      <c r="AV4" s="718" t="s">
        <v>459</v>
      </c>
      <c r="AW4" s="718" t="s">
        <v>497</v>
      </c>
    </row>
    <row r="5" spans="2:51" ht="15.75" thickBot="1" x14ac:dyDescent="0.3">
      <c r="B5" s="1261" t="s">
        <v>456</v>
      </c>
      <c r="C5" s="1262"/>
      <c r="D5" s="1262"/>
      <c r="E5" s="1262"/>
      <c r="F5" s="1210">
        <f>Summary!E7</f>
        <v>0</v>
      </c>
      <c r="G5" s="1211"/>
      <c r="H5" s="1212"/>
      <c r="I5" s="359" t="s">
        <v>446</v>
      </c>
      <c r="J5" s="360">
        <f t="shared" ref="J5:L7" si="0">Y5</f>
        <v>0</v>
      </c>
      <c r="K5" s="361">
        <f t="shared" si="0"/>
        <v>0</v>
      </c>
      <c r="L5" s="362">
        <f t="shared" si="0"/>
        <v>0</v>
      </c>
      <c r="N5" s="690"/>
      <c r="O5" s="691"/>
      <c r="P5" s="691"/>
      <c r="Q5" s="691"/>
      <c r="R5" s="700"/>
      <c r="T5" s="1261" t="s">
        <v>456</v>
      </c>
      <c r="U5" s="1262"/>
      <c r="V5" s="1262"/>
      <c r="W5" s="1434"/>
      <c r="X5" s="719" t="s">
        <v>456</v>
      </c>
      <c r="Y5" s="881"/>
      <c r="Z5" s="882"/>
      <c r="AA5" s="883"/>
      <c r="AC5" s="302"/>
      <c r="AD5" s="720" t="s">
        <v>460</v>
      </c>
      <c r="AE5" s="721"/>
      <c r="AF5" s="721"/>
      <c r="AG5" s="721"/>
      <c r="AH5" s="721"/>
      <c r="AI5" s="722"/>
      <c r="AJ5" s="890">
        <v>2024</v>
      </c>
      <c r="AL5" s="302"/>
      <c r="AM5" s="720"/>
      <c r="AN5" s="721"/>
      <c r="AO5" s="721"/>
      <c r="AP5" s="721"/>
      <c r="AQ5" s="722"/>
      <c r="AR5" s="1431" t="s">
        <v>493</v>
      </c>
      <c r="AS5" s="1432"/>
      <c r="AT5" s="1433"/>
      <c r="AU5" s="302"/>
      <c r="AV5" s="303"/>
      <c r="AW5" s="723"/>
      <c r="AX5" t="s">
        <v>581</v>
      </c>
    </row>
    <row r="6" spans="2:51" ht="15.75" thickBot="1" x14ac:dyDescent="0.3">
      <c r="B6" s="1231" t="s">
        <v>127</v>
      </c>
      <c r="C6" s="1232"/>
      <c r="D6" s="1232"/>
      <c r="E6" s="1232"/>
      <c r="F6" s="1321">
        <f>Summary!E11</f>
        <v>0</v>
      </c>
      <c r="G6" s="1322"/>
      <c r="H6" s="1323"/>
      <c r="I6" s="363">
        <f>F6</f>
        <v>0</v>
      </c>
      <c r="J6" s="724">
        <f t="shared" si="0"/>
        <v>0</v>
      </c>
      <c r="K6" s="725">
        <f t="shared" si="0"/>
        <v>0</v>
      </c>
      <c r="L6" s="726">
        <f t="shared" si="0"/>
        <v>0</v>
      </c>
      <c r="N6" s="690"/>
      <c r="O6" s="691"/>
      <c r="P6" s="691"/>
      <c r="Q6" s="691"/>
      <c r="R6" s="700"/>
      <c r="T6" s="1231" t="s">
        <v>127</v>
      </c>
      <c r="U6" s="1232"/>
      <c r="V6" s="1232"/>
      <c r="W6" s="1430"/>
      <c r="X6" s="727" t="s">
        <v>127</v>
      </c>
      <c r="Y6" s="884"/>
      <c r="Z6" s="885"/>
      <c r="AA6" s="886"/>
      <c r="AC6" s="302"/>
      <c r="AD6" s="728" t="s">
        <v>494</v>
      </c>
      <c r="AE6" s="729"/>
      <c r="AF6" s="729"/>
      <c r="AG6" s="729"/>
      <c r="AH6" s="729"/>
      <c r="AI6" s="730"/>
      <c r="AJ6" s="891"/>
      <c r="AL6" s="302"/>
      <c r="AM6" s="720" t="s">
        <v>460</v>
      </c>
      <c r="AN6" s="721"/>
      <c r="AO6" s="721"/>
      <c r="AP6" s="721"/>
      <c r="AQ6" s="722"/>
      <c r="AR6" s="896"/>
      <c r="AS6" s="897"/>
      <c r="AT6" s="898"/>
      <c r="AU6" s="302"/>
      <c r="AV6" s="303">
        <v>2024</v>
      </c>
      <c r="AW6" s="731" t="s">
        <v>762</v>
      </c>
    </row>
    <row r="7" spans="2:51" ht="15.75" thickBot="1" x14ac:dyDescent="0.3">
      <c r="B7" s="1263" t="s">
        <v>457</v>
      </c>
      <c r="C7" s="1264"/>
      <c r="D7" s="1264"/>
      <c r="E7" s="1264"/>
      <c r="F7" s="1318">
        <f>'Housing Income'!D34</f>
        <v>0</v>
      </c>
      <c r="G7" s="1319"/>
      <c r="H7" s="1320"/>
      <c r="I7" s="364">
        <f>F7</f>
        <v>0</v>
      </c>
      <c r="J7" s="569">
        <f t="shared" si="0"/>
        <v>0</v>
      </c>
      <c r="K7" s="570">
        <f t="shared" si="0"/>
        <v>0</v>
      </c>
      <c r="L7" s="571">
        <f t="shared" si="0"/>
        <v>0</v>
      </c>
      <c r="N7" s="690"/>
      <c r="O7" s="691"/>
      <c r="P7" s="691"/>
      <c r="Q7" s="691"/>
      <c r="R7" s="700"/>
      <c r="T7" s="1263" t="s">
        <v>457</v>
      </c>
      <c r="U7" s="1264"/>
      <c r="V7" s="1264"/>
      <c r="W7" s="1429"/>
      <c r="X7" s="732" t="s">
        <v>41</v>
      </c>
      <c r="Y7" s="887"/>
      <c r="Z7" s="888"/>
      <c r="AA7" s="889"/>
      <c r="AC7" s="302"/>
      <c r="AD7" s="669" t="s">
        <v>495</v>
      </c>
      <c r="AE7" s="670"/>
      <c r="AF7" s="670"/>
      <c r="AG7" s="670"/>
      <c r="AH7" s="670"/>
      <c r="AI7" s="733"/>
      <c r="AJ7" s="891"/>
      <c r="AL7" s="302"/>
      <c r="AM7" s="720" t="s">
        <v>461</v>
      </c>
      <c r="AN7" s="721"/>
      <c r="AO7" s="721"/>
      <c r="AP7" s="721"/>
      <c r="AQ7" s="722"/>
      <c r="AR7" s="899"/>
      <c r="AS7" s="900"/>
      <c r="AT7" s="901"/>
      <c r="AU7" s="302"/>
      <c r="AV7" s="303">
        <v>2023</v>
      </c>
      <c r="AW7" s="723">
        <v>100000</v>
      </c>
    </row>
    <row r="8" spans="2:51" x14ac:dyDescent="0.25">
      <c r="B8" s="1240" t="s">
        <v>6</v>
      </c>
      <c r="C8" s="1241"/>
      <c r="D8" s="1241"/>
      <c r="E8" s="1265"/>
      <c r="F8" s="337"/>
      <c r="G8" s="734" t="s">
        <v>36</v>
      </c>
      <c r="H8" s="735" t="s">
        <v>85</v>
      </c>
      <c r="I8" s="878" t="s">
        <v>85</v>
      </c>
      <c r="J8" s="879" t="s">
        <v>85</v>
      </c>
      <c r="K8" s="880" t="str">
        <f>$J$8</f>
        <v>Per Unit</v>
      </c>
      <c r="L8" s="878" t="str">
        <f>$J$8</f>
        <v>Per Unit</v>
      </c>
      <c r="N8" s="690" t="s">
        <v>709</v>
      </c>
      <c r="O8" s="691"/>
      <c r="P8" s="691"/>
      <c r="Q8" s="691"/>
      <c r="R8" s="700"/>
      <c r="T8" s="1420" t="s">
        <v>6</v>
      </c>
      <c r="U8" s="1421"/>
      <c r="V8" s="1421"/>
      <c r="W8" s="1422"/>
      <c r="X8" s="736" t="s">
        <v>446</v>
      </c>
      <c r="Y8" s="510" t="s">
        <v>36</v>
      </c>
      <c r="Z8" s="511" t="s">
        <v>36</v>
      </c>
      <c r="AA8" s="512" t="s">
        <v>36</v>
      </c>
      <c r="AC8" s="302"/>
      <c r="AD8" s="1074" t="s">
        <v>808</v>
      </c>
      <c r="AE8" s="670"/>
      <c r="AF8" s="670"/>
      <c r="AG8" s="670"/>
      <c r="AH8" s="670"/>
      <c r="AI8" s="733"/>
      <c r="AJ8" s="892"/>
      <c r="AL8" s="302"/>
      <c r="AM8" s="728" t="s">
        <v>462</v>
      </c>
      <c r="AN8" s="729"/>
      <c r="AO8" s="729"/>
      <c r="AP8" s="729"/>
      <c r="AQ8" s="730"/>
      <c r="AR8" s="902"/>
      <c r="AS8" s="903"/>
      <c r="AT8" s="904"/>
      <c r="AU8" s="302"/>
      <c r="AV8" s="303">
        <v>2022</v>
      </c>
      <c r="AW8" s="723">
        <v>100000</v>
      </c>
    </row>
    <row r="9" spans="2:51" x14ac:dyDescent="0.25">
      <c r="B9" s="1203" t="s">
        <v>7</v>
      </c>
      <c r="C9" s="1193"/>
      <c r="D9" s="1193"/>
      <c r="E9" s="1204"/>
      <c r="F9" s="338"/>
      <c r="G9" s="737"/>
      <c r="H9" s="738"/>
      <c r="I9" s="267"/>
      <c r="J9" s="265"/>
      <c r="K9" s="266"/>
      <c r="L9" s="267"/>
      <c r="N9" s="690"/>
      <c r="O9" s="691"/>
      <c r="P9" s="691"/>
      <c r="Q9" s="691"/>
      <c r="R9" s="700"/>
      <c r="T9" s="1190" t="s">
        <v>7</v>
      </c>
      <c r="U9" s="1191"/>
      <c r="V9" s="1191"/>
      <c r="W9" s="1230"/>
      <c r="X9" s="739"/>
      <c r="Y9" s="338"/>
      <c r="Z9" s="737"/>
      <c r="AA9" s="264"/>
      <c r="AC9" s="302"/>
      <c r="AD9" s="1074" t="s">
        <v>807</v>
      </c>
      <c r="AE9" s="670"/>
      <c r="AF9" s="670"/>
      <c r="AG9" s="670"/>
      <c r="AH9" s="670"/>
      <c r="AI9" s="733"/>
      <c r="AJ9" s="892"/>
      <c r="AK9" s="302"/>
      <c r="AL9" s="302"/>
      <c r="AM9" s="740" t="s">
        <v>463</v>
      </c>
      <c r="AN9" s="741"/>
      <c r="AO9" s="741"/>
      <c r="AP9" s="741"/>
      <c r="AQ9" s="742"/>
      <c r="AR9" s="744">
        <f>IFERROR(AR8/AR12,0)</f>
        <v>0</v>
      </c>
      <c r="AS9" s="745">
        <f t="shared" ref="AS9:AT9" si="1">IFERROR(AS8/AS12,0)</f>
        <v>0</v>
      </c>
      <c r="AT9" s="746">
        <f t="shared" si="1"/>
        <v>0</v>
      </c>
      <c r="AU9" s="302"/>
      <c r="AV9" s="303">
        <v>2021</v>
      </c>
      <c r="AW9" s="723">
        <v>174000</v>
      </c>
    </row>
    <row r="10" spans="2:51" x14ac:dyDescent="0.25">
      <c r="B10" s="1200" t="s">
        <v>8</v>
      </c>
      <c r="C10" s="1201"/>
      <c r="D10" s="1201"/>
      <c r="E10" s="1250"/>
      <c r="F10" s="338"/>
      <c r="G10" s="737">
        <f>'Housing Income'!M34</f>
        <v>0</v>
      </c>
      <c r="H10" s="264">
        <f>IF($F$7&gt;0,G10/$F$7,)</f>
        <v>0</v>
      </c>
      <c r="I10" s="264">
        <f t="shared" ref="I10:I12" si="2">IFERROR(IF(I$8="Per Unit",X10/I$7,X10),0)</f>
        <v>0</v>
      </c>
      <c r="J10" s="265">
        <f>IFERROR(IF(J$8="Per Unit",Y10/J$7,Y10),0)</f>
        <v>0</v>
      </c>
      <c r="K10" s="266">
        <f t="shared" ref="K10:K12" si="3">IFERROR(IF(K$8="Per Unit",Z10/K$7,Z10),0)</f>
        <v>0</v>
      </c>
      <c r="L10" s="267">
        <f t="shared" ref="L10:L12" si="4">IFERROR(IF(L$8="Per Unit",AA10/L$7,AA10),0)</f>
        <v>0</v>
      </c>
      <c r="N10" s="701"/>
      <c r="O10" s="702"/>
      <c r="P10" s="702"/>
      <c r="Q10" s="702"/>
      <c r="R10" s="700"/>
      <c r="T10" s="1405" t="s">
        <v>8</v>
      </c>
      <c r="U10" s="1406"/>
      <c r="V10" s="1406"/>
      <c r="W10" s="1407"/>
      <c r="X10" s="300"/>
      <c r="Y10" s="61"/>
      <c r="Z10" s="19"/>
      <c r="AA10" s="62"/>
      <c r="AC10" s="302"/>
      <c r="AD10" s="740" t="s">
        <v>463</v>
      </c>
      <c r="AE10" s="741"/>
      <c r="AF10" s="741"/>
      <c r="AG10" s="741"/>
      <c r="AH10" s="741"/>
      <c r="AI10" s="742"/>
      <c r="AJ10" s="743">
        <f>IFERROR(AJ9/AJ13,0)</f>
        <v>0</v>
      </c>
      <c r="AK10" s="302"/>
      <c r="AL10" s="302"/>
      <c r="AM10" s="740" t="s">
        <v>464</v>
      </c>
      <c r="AN10" s="741"/>
      <c r="AO10" s="741"/>
      <c r="AP10" s="741"/>
      <c r="AQ10" s="742"/>
      <c r="AR10" s="905"/>
      <c r="AS10" s="906"/>
      <c r="AT10" s="907"/>
      <c r="AU10" s="302"/>
      <c r="AV10" s="303">
        <v>2020</v>
      </c>
      <c r="AW10" s="723">
        <v>162000</v>
      </c>
    </row>
    <row r="11" spans="2:51" x14ac:dyDescent="0.25">
      <c r="B11" s="1200" t="s">
        <v>9</v>
      </c>
      <c r="C11" s="1201"/>
      <c r="D11" s="1201"/>
      <c r="E11" s="1250"/>
      <c r="F11" s="338"/>
      <c r="G11" s="19"/>
      <c r="H11" s="264">
        <f t="shared" ref="H11:H12" si="5">IF($F$7&gt;0,G11/$F$7,)</f>
        <v>0</v>
      </c>
      <c r="I11" s="262">
        <f t="shared" si="2"/>
        <v>0</v>
      </c>
      <c r="J11" s="265">
        <f t="shared" ref="J11:J12" si="6">IFERROR(IF(J$8="Per Unit",Y11/J$7,Y11),0)</f>
        <v>0</v>
      </c>
      <c r="K11" s="266">
        <f t="shared" si="3"/>
        <v>0</v>
      </c>
      <c r="L11" s="267">
        <f t="shared" si="4"/>
        <v>0</v>
      </c>
      <c r="N11" s="690"/>
      <c r="O11" s="691"/>
      <c r="P11" s="691"/>
      <c r="Q11" s="691"/>
      <c r="R11" s="700"/>
      <c r="T11" s="1405" t="s">
        <v>9</v>
      </c>
      <c r="U11" s="1406"/>
      <c r="V11" s="1406"/>
      <c r="W11" s="1407"/>
      <c r="X11" s="300"/>
      <c r="Y11" s="61"/>
      <c r="Z11" s="19"/>
      <c r="AA11" s="62"/>
      <c r="AC11" s="302"/>
      <c r="AD11" s="740" t="s">
        <v>490</v>
      </c>
      <c r="AE11" s="741"/>
      <c r="AF11" s="741"/>
      <c r="AG11" s="741"/>
      <c r="AH11" s="741"/>
      <c r="AI11" s="742"/>
      <c r="AJ11" s="893"/>
      <c r="AK11" s="302"/>
      <c r="AL11" s="302"/>
      <c r="AM11" s="740" t="s">
        <v>465</v>
      </c>
      <c r="AN11" s="741"/>
      <c r="AO11" s="741"/>
      <c r="AP11" s="741"/>
      <c r="AQ11" s="742"/>
      <c r="AR11" s="905"/>
      <c r="AS11" s="906"/>
      <c r="AT11" s="907"/>
      <c r="AU11" s="302"/>
      <c r="AV11" s="303">
        <v>2019</v>
      </c>
      <c r="AW11" s="723">
        <v>150000</v>
      </c>
    </row>
    <row r="12" spans="2:51" ht="15.75" thickBot="1" x14ac:dyDescent="0.3">
      <c r="B12" s="1217" t="s">
        <v>10</v>
      </c>
      <c r="C12" s="1218"/>
      <c r="D12" s="1218"/>
      <c r="E12" s="1251"/>
      <c r="F12" s="339"/>
      <c r="G12" s="20"/>
      <c r="H12" s="747">
        <f t="shared" si="5"/>
        <v>0</v>
      </c>
      <c r="I12" s="263">
        <f t="shared" si="2"/>
        <v>0</v>
      </c>
      <c r="J12" s="268">
        <f t="shared" si="6"/>
        <v>0</v>
      </c>
      <c r="K12" s="269">
        <f t="shared" si="3"/>
        <v>0</v>
      </c>
      <c r="L12" s="270">
        <f t="shared" si="4"/>
        <v>0</v>
      </c>
      <c r="N12" s="690"/>
      <c r="O12" s="691"/>
      <c r="P12" s="691"/>
      <c r="Q12" s="691"/>
      <c r="R12" s="700"/>
      <c r="T12" s="1408" t="s">
        <v>10</v>
      </c>
      <c r="U12" s="1409"/>
      <c r="V12" s="1409"/>
      <c r="W12" s="1410"/>
      <c r="X12" s="301"/>
      <c r="Y12" s="53"/>
      <c r="Z12" s="20"/>
      <c r="AA12" s="54"/>
      <c r="AC12" s="302"/>
      <c r="AD12" s="740" t="s">
        <v>491</v>
      </c>
      <c r="AE12" s="741"/>
      <c r="AF12" s="741"/>
      <c r="AG12" s="741"/>
      <c r="AH12" s="741"/>
      <c r="AI12" s="742"/>
      <c r="AJ12" s="893"/>
      <c r="AK12" s="302"/>
      <c r="AL12" s="302"/>
      <c r="AM12" s="740" t="s">
        <v>466</v>
      </c>
      <c r="AN12" s="741"/>
      <c r="AO12" s="741"/>
      <c r="AP12" s="741"/>
      <c r="AQ12" s="742"/>
      <c r="AR12" s="749">
        <f t="shared" ref="AR12:AT12" si="7">SUM(AR10:AR11)</f>
        <v>0</v>
      </c>
      <c r="AS12" s="750">
        <f t="shared" si="7"/>
        <v>0</v>
      </c>
      <c r="AT12" s="751">
        <f t="shared" si="7"/>
        <v>0</v>
      </c>
      <c r="AU12" s="302"/>
      <c r="AV12" s="303">
        <v>2018</v>
      </c>
      <c r="AW12" s="723">
        <v>139000</v>
      </c>
    </row>
    <row r="13" spans="2:51" x14ac:dyDescent="0.25">
      <c r="B13" s="1243" t="s">
        <v>31</v>
      </c>
      <c r="C13" s="1244"/>
      <c r="D13" s="1244"/>
      <c r="E13" s="1245"/>
      <c r="F13" s="340"/>
      <c r="G13" s="752">
        <f t="shared" ref="G13:L13" si="8">SUM(G10:G12)</f>
        <v>0</v>
      </c>
      <c r="H13" s="753">
        <f t="shared" si="8"/>
        <v>0</v>
      </c>
      <c r="I13" s="293">
        <f t="shared" si="8"/>
        <v>0</v>
      </c>
      <c r="J13" s="271">
        <f t="shared" si="8"/>
        <v>0</v>
      </c>
      <c r="K13" s="272">
        <f t="shared" si="8"/>
        <v>0</v>
      </c>
      <c r="L13" s="273">
        <f t="shared" si="8"/>
        <v>0</v>
      </c>
      <c r="N13" s="690"/>
      <c r="O13" s="691"/>
      <c r="P13" s="691"/>
      <c r="Q13" s="691"/>
      <c r="R13" s="700"/>
      <c r="T13" s="1414" t="s">
        <v>31</v>
      </c>
      <c r="U13" s="1415"/>
      <c r="V13" s="1415"/>
      <c r="W13" s="1416"/>
      <c r="X13" s="754">
        <f>SUM(X10:X12)</f>
        <v>0</v>
      </c>
      <c r="Y13" s="755">
        <f>SUM(Y10:Y12)</f>
        <v>0</v>
      </c>
      <c r="Z13" s="756">
        <f>SUM(Z10:Z12)</f>
        <v>0</v>
      </c>
      <c r="AA13" s="757">
        <f>SUM(AA10:AA12)</f>
        <v>0</v>
      </c>
      <c r="AC13" s="302"/>
      <c r="AD13" s="740" t="s">
        <v>466</v>
      </c>
      <c r="AE13" s="741"/>
      <c r="AF13" s="741"/>
      <c r="AG13" s="741"/>
      <c r="AH13" s="741"/>
      <c r="AI13" s="742"/>
      <c r="AJ13" s="748">
        <f>SUM(AJ11:AJ12)</f>
        <v>0</v>
      </c>
      <c r="AK13" s="302"/>
      <c r="AL13" s="302"/>
      <c r="AM13" s="740" t="s">
        <v>467</v>
      </c>
      <c r="AN13" s="741"/>
      <c r="AO13" s="741"/>
      <c r="AP13" s="741"/>
      <c r="AQ13" s="742"/>
      <c r="AR13" s="759">
        <f>IFERROR(AR11/AR12,0)</f>
        <v>0</v>
      </c>
      <c r="AS13" s="760">
        <f t="shared" ref="AS13:AT13" si="9">IFERROR(AS11/AS12,0)</f>
        <v>0</v>
      </c>
      <c r="AT13" s="761">
        <f t="shared" si="9"/>
        <v>0</v>
      </c>
      <c r="AU13" s="302"/>
      <c r="AV13" s="303">
        <v>2017</v>
      </c>
      <c r="AW13" s="723">
        <v>121000</v>
      </c>
    </row>
    <row r="14" spans="2:51" ht="15.75" thickBot="1" x14ac:dyDescent="0.3">
      <c r="B14" s="1246"/>
      <c r="C14" s="1247"/>
      <c r="D14" s="1247"/>
      <c r="E14" s="1248"/>
      <c r="F14" s="341"/>
      <c r="G14" s="752"/>
      <c r="H14" s="762"/>
      <c r="I14" s="294"/>
      <c r="J14" s="274"/>
      <c r="K14" s="275"/>
      <c r="L14" s="276"/>
      <c r="N14" s="690"/>
      <c r="O14" s="691"/>
      <c r="P14" s="691"/>
      <c r="Q14" s="691"/>
      <c r="R14" s="700"/>
      <c r="T14" s="1405"/>
      <c r="U14" s="1406"/>
      <c r="V14" s="1406"/>
      <c r="W14" s="1407"/>
      <c r="X14" s="752"/>
      <c r="Y14" s="340"/>
      <c r="Z14" s="752"/>
      <c r="AA14" s="762"/>
      <c r="AC14" s="302"/>
      <c r="AD14" s="740" t="s">
        <v>467</v>
      </c>
      <c r="AE14" s="741"/>
      <c r="AF14" s="741"/>
      <c r="AG14" s="741"/>
      <c r="AH14" s="741"/>
      <c r="AI14" s="742"/>
      <c r="AJ14" s="758">
        <f>IFERROR(AJ12/AJ13,0)</f>
        <v>0</v>
      </c>
      <c r="AK14" s="302"/>
      <c r="AL14" s="302"/>
      <c r="AM14" s="763" t="s">
        <v>468</v>
      </c>
      <c r="AN14" s="764"/>
      <c r="AO14" s="764"/>
      <c r="AP14" s="764"/>
      <c r="AQ14" s="765"/>
      <c r="AR14" s="767">
        <f>IFERROR(AR10/AR12,0)</f>
        <v>0</v>
      </c>
      <c r="AS14" s="768">
        <f t="shared" ref="AS14:AT14" si="10">IFERROR(AS10/AS12,0)</f>
        <v>0</v>
      </c>
      <c r="AT14" s="769">
        <f t="shared" si="10"/>
        <v>0</v>
      </c>
      <c r="AU14" s="302"/>
      <c r="AV14" s="303">
        <v>2016</v>
      </c>
      <c r="AW14" s="723">
        <v>115000</v>
      </c>
    </row>
    <row r="15" spans="2:51" ht="15.75" thickBot="1" x14ac:dyDescent="0.3">
      <c r="B15" s="1203" t="s">
        <v>24</v>
      </c>
      <c r="C15" s="1193"/>
      <c r="D15" s="1193"/>
      <c r="E15" s="1249"/>
      <c r="F15" s="338"/>
      <c r="G15" s="737"/>
      <c r="H15" s="264"/>
      <c r="I15" s="295"/>
      <c r="J15" s="274"/>
      <c r="K15" s="275"/>
      <c r="L15" s="267"/>
      <c r="N15" s="690"/>
      <c r="O15" s="691"/>
      <c r="P15" s="691"/>
      <c r="Q15" s="691"/>
      <c r="R15" s="700"/>
      <c r="T15" s="1190" t="s">
        <v>24</v>
      </c>
      <c r="U15" s="1191"/>
      <c r="V15" s="1191"/>
      <c r="W15" s="1230"/>
      <c r="X15" s="770"/>
      <c r="Y15" s="341"/>
      <c r="Z15" s="771"/>
      <c r="AA15" s="264"/>
      <c r="AC15" s="302"/>
      <c r="AD15" s="763" t="s">
        <v>468</v>
      </c>
      <c r="AE15" s="764"/>
      <c r="AF15" s="764"/>
      <c r="AG15" s="764"/>
      <c r="AH15" s="764"/>
      <c r="AI15" s="765"/>
      <c r="AJ15" s="766">
        <f>IFERROR(AJ11/AJ13,0)</f>
        <v>0</v>
      </c>
      <c r="AK15" s="302"/>
      <c r="AL15" s="302"/>
      <c r="AM15" s="720" t="s">
        <v>470</v>
      </c>
      <c r="AN15" s="721"/>
      <c r="AO15" s="721"/>
      <c r="AP15" s="721"/>
      <c r="AQ15" s="722"/>
      <c r="AR15" s="773">
        <f>AR6+1</f>
        <v>1</v>
      </c>
      <c r="AS15" s="774">
        <f>AS6+1</f>
        <v>1</v>
      </c>
      <c r="AT15" s="775">
        <f>AT6+1</f>
        <v>1</v>
      </c>
      <c r="AU15" s="302"/>
      <c r="AV15" s="303">
        <v>2015</v>
      </c>
      <c r="AW15" s="723">
        <v>106000</v>
      </c>
    </row>
    <row r="16" spans="2:51" ht="15.75" thickBot="1" x14ac:dyDescent="0.3">
      <c r="B16" s="1200" t="s">
        <v>11</v>
      </c>
      <c r="C16" s="1201"/>
      <c r="D16" s="1201"/>
      <c r="E16" s="1202"/>
      <c r="F16" s="338"/>
      <c r="G16" s="19"/>
      <c r="H16" s="264">
        <f t="shared" ref="H16:H18" si="11">IF($F$7&gt;0,G16/$F$7,)</f>
        <v>0</v>
      </c>
      <c r="I16" s="295">
        <f t="shared" ref="I16:I18" si="12">IFERROR(IF(I$8="Per Unit",X16/I$7,X16),0)</f>
        <v>0</v>
      </c>
      <c r="J16" s="265">
        <f t="shared" ref="J16:J18" si="13">IFERROR(IF(J$8="Per Unit",Y16/J$7,Y16),0)</f>
        <v>0</v>
      </c>
      <c r="K16" s="266">
        <f t="shared" ref="K16:K18" si="14">IFERROR(IF(K$8="Per Unit",Z16/K$7,Z16),0)</f>
        <v>0</v>
      </c>
      <c r="L16" s="267">
        <f t="shared" ref="L16:L18" si="15">IFERROR(IF(L$8="Per Unit",AA16/L$7,AA16),0)</f>
        <v>0</v>
      </c>
      <c r="N16" s="690"/>
      <c r="O16" s="691"/>
      <c r="P16" s="691"/>
      <c r="Q16" s="691"/>
      <c r="R16" s="700"/>
      <c r="T16" s="1405" t="s">
        <v>11</v>
      </c>
      <c r="U16" s="1406"/>
      <c r="V16" s="1406"/>
      <c r="W16" s="1407"/>
      <c r="X16" s="291"/>
      <c r="Y16" s="61"/>
      <c r="Z16" s="19"/>
      <c r="AA16" s="62"/>
      <c r="AC16" s="302"/>
      <c r="AD16" s="720" t="s">
        <v>469</v>
      </c>
      <c r="AE16" s="721"/>
      <c r="AF16" s="721"/>
      <c r="AG16" s="721"/>
      <c r="AH16" s="721"/>
      <c r="AI16" s="722"/>
      <c r="AJ16" s="772">
        <f>AJ5+1</f>
        <v>2025</v>
      </c>
      <c r="AK16" s="302"/>
      <c r="AL16" s="778"/>
      <c r="AM16" s="728" t="s">
        <v>472</v>
      </c>
      <c r="AN16" s="729"/>
      <c r="AO16" s="729"/>
      <c r="AP16" s="729"/>
      <c r="AQ16" s="730"/>
      <c r="AR16" s="902"/>
      <c r="AS16" s="903"/>
      <c r="AT16" s="904"/>
      <c r="AU16" s="302"/>
      <c r="AV16" s="303">
        <v>2014</v>
      </c>
      <c r="AW16" s="723">
        <v>100000</v>
      </c>
    </row>
    <row r="17" spans="2:49" x14ac:dyDescent="0.25">
      <c r="B17" s="1200" t="s">
        <v>12</v>
      </c>
      <c r="C17" s="1201"/>
      <c r="D17" s="1201"/>
      <c r="E17" s="1202"/>
      <c r="F17" s="338"/>
      <c r="G17" s="19"/>
      <c r="H17" s="264">
        <f t="shared" si="11"/>
        <v>0</v>
      </c>
      <c r="I17" s="295">
        <f t="shared" si="12"/>
        <v>0</v>
      </c>
      <c r="J17" s="265">
        <f t="shared" si="13"/>
        <v>0</v>
      </c>
      <c r="K17" s="266">
        <f t="shared" si="14"/>
        <v>0</v>
      </c>
      <c r="L17" s="267">
        <f t="shared" si="15"/>
        <v>0</v>
      </c>
      <c r="N17" s="690"/>
      <c r="O17" s="691"/>
      <c r="P17" s="691"/>
      <c r="Q17" s="691"/>
      <c r="R17" s="700"/>
      <c r="T17" s="1405" t="s">
        <v>12</v>
      </c>
      <c r="U17" s="1406"/>
      <c r="V17" s="1406"/>
      <c r="W17" s="1407"/>
      <c r="X17" s="291"/>
      <c r="Y17" s="61"/>
      <c r="Z17" s="19"/>
      <c r="AA17" s="62"/>
      <c r="AC17" s="302"/>
      <c r="AD17" s="776" t="s">
        <v>471</v>
      </c>
      <c r="AE17" s="729"/>
      <c r="AF17" s="729"/>
      <c r="AG17" s="729"/>
      <c r="AH17" s="729"/>
      <c r="AI17" s="730"/>
      <c r="AJ17" s="777"/>
      <c r="AK17" s="302"/>
      <c r="AL17" s="780"/>
      <c r="AM17" s="740" t="s">
        <v>474</v>
      </c>
      <c r="AN17" s="741"/>
      <c r="AO17" s="741"/>
      <c r="AP17" s="741"/>
      <c r="AQ17" s="742"/>
      <c r="AR17" s="908"/>
      <c r="AS17" s="909"/>
      <c r="AT17" s="910"/>
      <c r="AU17" s="302"/>
      <c r="AV17" s="302"/>
      <c r="AW17" s="302"/>
    </row>
    <row r="18" spans="2:49" ht="15.75" thickBot="1" x14ac:dyDescent="0.3">
      <c r="B18" s="1217" t="s">
        <v>13</v>
      </c>
      <c r="C18" s="1218"/>
      <c r="D18" s="1218"/>
      <c r="E18" s="1219"/>
      <c r="F18" s="339"/>
      <c r="G18" s="20"/>
      <c r="H18" s="747">
        <f t="shared" si="11"/>
        <v>0</v>
      </c>
      <c r="I18" s="296">
        <f t="shared" si="12"/>
        <v>0</v>
      </c>
      <c r="J18" s="268">
        <f t="shared" si="13"/>
        <v>0</v>
      </c>
      <c r="K18" s="269">
        <f t="shared" si="14"/>
        <v>0</v>
      </c>
      <c r="L18" s="270">
        <f t="shared" si="15"/>
        <v>0</v>
      </c>
      <c r="N18" s="690"/>
      <c r="O18" s="691"/>
      <c r="P18" s="691"/>
      <c r="Q18" s="691"/>
      <c r="R18" s="700"/>
      <c r="T18" s="1408" t="s">
        <v>13</v>
      </c>
      <c r="U18" s="1409"/>
      <c r="V18" s="1409"/>
      <c r="W18" s="1410"/>
      <c r="X18" s="292"/>
      <c r="Y18" s="53"/>
      <c r="Z18" s="20"/>
      <c r="AA18" s="54"/>
      <c r="AC18" s="302"/>
      <c r="AD18" s="740" t="s">
        <v>473</v>
      </c>
      <c r="AE18" s="741"/>
      <c r="AF18" s="741"/>
      <c r="AG18" s="741"/>
      <c r="AH18" s="741"/>
      <c r="AI18" s="742"/>
      <c r="AJ18" s="779" t="str">
        <f>VLOOKUP(AJ5,$AV$5:$AW$16,2,FALSE)</f>
        <v>N/A</v>
      </c>
      <c r="AK18" s="302"/>
      <c r="AL18" s="780"/>
      <c r="AM18" s="740" t="s">
        <v>478</v>
      </c>
      <c r="AN18" s="741"/>
      <c r="AO18" s="741"/>
      <c r="AP18" s="741"/>
      <c r="AQ18" s="742"/>
      <c r="AR18" s="744">
        <f t="shared" ref="AR18:AT18" si="16">SUM(AR16:AR17)</f>
        <v>0</v>
      </c>
      <c r="AS18" s="745">
        <f t="shared" si="16"/>
        <v>0</v>
      </c>
      <c r="AT18" s="746">
        <f t="shared" si="16"/>
        <v>0</v>
      </c>
      <c r="AU18" s="302"/>
      <c r="AV18" s="302" t="s">
        <v>477</v>
      </c>
      <c r="AW18" s="302"/>
    </row>
    <row r="19" spans="2:49" ht="15.75" thickBot="1" x14ac:dyDescent="0.3">
      <c r="B19" s="1243" t="s">
        <v>14</v>
      </c>
      <c r="C19" s="1244"/>
      <c r="D19" s="1244"/>
      <c r="E19" s="1245"/>
      <c r="F19" s="340"/>
      <c r="G19" s="752">
        <f t="shared" ref="G19:L19" si="17">SUM(G16:G18)</f>
        <v>0</v>
      </c>
      <c r="H19" s="753">
        <f t="shared" si="17"/>
        <v>0</v>
      </c>
      <c r="I19" s="297">
        <f t="shared" si="17"/>
        <v>0</v>
      </c>
      <c r="J19" s="271">
        <f t="shared" si="17"/>
        <v>0</v>
      </c>
      <c r="K19" s="272">
        <f t="shared" si="17"/>
        <v>0</v>
      </c>
      <c r="L19" s="273">
        <f t="shared" si="17"/>
        <v>0</v>
      </c>
      <c r="N19" s="690"/>
      <c r="O19" s="691"/>
      <c r="P19" s="691"/>
      <c r="Q19" s="691"/>
      <c r="R19" s="700"/>
      <c r="T19" s="1414" t="s">
        <v>14</v>
      </c>
      <c r="U19" s="1415"/>
      <c r="V19" s="1415"/>
      <c r="W19" s="1416"/>
      <c r="X19" s="340">
        <f>SUM(X16:X18)</f>
        <v>0</v>
      </c>
      <c r="Y19" s="340">
        <f>SUM(Y16:Y18)</f>
        <v>0</v>
      </c>
      <c r="Z19" s="752">
        <f>SUM(Z16:Z18)</f>
        <v>0</v>
      </c>
      <c r="AA19" s="762">
        <f>SUM(AA16:AA18)</f>
        <v>0</v>
      </c>
      <c r="AC19" s="302"/>
      <c r="AD19" s="740" t="s">
        <v>475</v>
      </c>
      <c r="AE19" s="741"/>
      <c r="AF19" s="741"/>
      <c r="AG19" s="741"/>
      <c r="AH19" s="741"/>
      <c r="AI19" s="742"/>
      <c r="AJ19" s="781"/>
      <c r="AK19" s="782" t="s">
        <v>476</v>
      </c>
      <c r="AL19" s="780"/>
      <c r="AM19" s="763" t="s">
        <v>480</v>
      </c>
      <c r="AN19" s="764"/>
      <c r="AO19" s="764"/>
      <c r="AP19" s="764"/>
      <c r="AQ19" s="765"/>
      <c r="AR19" s="911"/>
      <c r="AS19" s="912"/>
      <c r="AT19" s="913"/>
      <c r="AU19" s="302"/>
      <c r="AV19" s="302"/>
      <c r="AW19" s="302"/>
    </row>
    <row r="20" spans="2:49" ht="15.75" thickBot="1" x14ac:dyDescent="0.3">
      <c r="B20" s="1200"/>
      <c r="C20" s="1201"/>
      <c r="D20" s="1201"/>
      <c r="E20" s="1202"/>
      <c r="F20" s="342"/>
      <c r="G20" s="787"/>
      <c r="H20" s="264"/>
      <c r="I20" s="298"/>
      <c r="J20" s="277"/>
      <c r="K20" s="278"/>
      <c r="L20" s="279"/>
      <c r="N20" s="690"/>
      <c r="O20" s="691"/>
      <c r="P20" s="691"/>
      <c r="Q20" s="691"/>
      <c r="R20" s="700"/>
      <c r="T20" s="1405"/>
      <c r="U20" s="1406"/>
      <c r="V20" s="1406"/>
      <c r="W20" s="1407"/>
      <c r="X20" s="342"/>
      <c r="Y20" s="342"/>
      <c r="Z20" s="787"/>
      <c r="AA20" s="788"/>
      <c r="AC20" s="302"/>
      <c r="AD20" s="783" t="s">
        <v>479</v>
      </c>
      <c r="AE20" s="784"/>
      <c r="AF20" s="784"/>
      <c r="AG20" s="784"/>
      <c r="AH20" s="784"/>
      <c r="AI20" s="785"/>
      <c r="AJ20" s="779">
        <f>IFERROR(AJ14*AJ9,0)</f>
        <v>0</v>
      </c>
      <c r="AK20" s="786">
        <v>1.2500000000000001E-2</v>
      </c>
      <c r="AL20" s="780"/>
      <c r="AM20" s="789" t="s">
        <v>482</v>
      </c>
      <c r="AN20" s="790"/>
      <c r="AO20" s="790"/>
      <c r="AP20" s="790"/>
      <c r="AQ20" s="791"/>
      <c r="AR20" s="792">
        <f>AR18+AR19</f>
        <v>0</v>
      </c>
      <c r="AS20" s="793">
        <f>AS18+AS19</f>
        <v>0</v>
      </c>
      <c r="AT20" s="794">
        <f>AT18+AT19</f>
        <v>0</v>
      </c>
      <c r="AU20" s="302"/>
      <c r="AV20" s="302"/>
      <c r="AW20" s="302"/>
    </row>
    <row r="21" spans="2:49" x14ac:dyDescent="0.25">
      <c r="B21" s="1203" t="s">
        <v>25</v>
      </c>
      <c r="C21" s="1193"/>
      <c r="D21" s="1193"/>
      <c r="E21" s="1249"/>
      <c r="F21" s="343" t="s">
        <v>42</v>
      </c>
      <c r="G21" s="737"/>
      <c r="H21" s="264"/>
      <c r="I21" s="295"/>
      <c r="J21" s="265"/>
      <c r="K21" s="266"/>
      <c r="L21" s="267"/>
      <c r="N21" s="690"/>
      <c r="O21" s="691"/>
      <c r="P21" s="691"/>
      <c r="Q21" s="691"/>
      <c r="R21" s="700"/>
      <c r="T21" s="1190" t="s">
        <v>25</v>
      </c>
      <c r="U21" s="1191"/>
      <c r="V21" s="1191"/>
      <c r="W21" s="1230"/>
      <c r="X21" s="338"/>
      <c r="Y21" s="338"/>
      <c r="Z21" s="737"/>
      <c r="AA21" s="264"/>
      <c r="AC21" s="302"/>
      <c r="AD21" s="783" t="s">
        <v>481</v>
      </c>
      <c r="AE21" s="784"/>
      <c r="AF21" s="784"/>
      <c r="AG21" s="784"/>
      <c r="AH21" s="784"/>
      <c r="AI21" s="785"/>
      <c r="AJ21" s="779">
        <f>IFERROR(IF(AJ5&gt;=2024,0,IF(AJ10&lt;=AJ18,AJ10*AJ11,AJ18*AJ11)),0)</f>
        <v>0</v>
      </c>
      <c r="AK21" s="786">
        <v>7.4999999999999997E-3</v>
      </c>
      <c r="AL21" s="302"/>
      <c r="AM21" s="796" t="s">
        <v>484</v>
      </c>
      <c r="AN21" s="797"/>
      <c r="AO21" s="797"/>
      <c r="AP21" s="797"/>
      <c r="AQ21" s="798"/>
      <c r="AR21" s="799"/>
      <c r="AS21" s="800"/>
      <c r="AT21" s="801"/>
      <c r="AU21" s="302"/>
      <c r="AV21" s="302"/>
      <c r="AW21" s="302"/>
    </row>
    <row r="22" spans="2:49" x14ac:dyDescent="0.25">
      <c r="B22" s="1200" t="s">
        <v>26</v>
      </c>
      <c r="C22" s="1201"/>
      <c r="D22" s="1201"/>
      <c r="E22" s="1202"/>
      <c r="F22" s="55">
        <v>7.0000000000000007E-2</v>
      </c>
      <c r="G22" s="737">
        <f>(G10+G19)*F22</f>
        <v>0</v>
      </c>
      <c r="H22" s="264">
        <f t="shared" ref="H22:H24" si="18">IF($F$7&gt;0,G22/$F$7,)</f>
        <v>0</v>
      </c>
      <c r="I22" s="295">
        <f t="shared" ref="I22:I24" si="19">IFERROR(IF(I$8="Per Unit",X22/I$7,X22),0)</f>
        <v>0</v>
      </c>
      <c r="J22" s="265">
        <f t="shared" ref="J22:J24" si="20">IFERROR(IF(J$8="Per Unit",Y22/J$7,Y22),0)</f>
        <v>0</v>
      </c>
      <c r="K22" s="266">
        <f t="shared" ref="K22:K24" si="21">IFERROR(IF(K$8="Per Unit",Z22/K$7,Z22),0)</f>
        <v>0</v>
      </c>
      <c r="L22" s="267">
        <f t="shared" ref="L22:L24" si="22">IFERROR(IF(L$8="Per Unit",AA22/L$7,AA22),0)</f>
        <v>0</v>
      </c>
      <c r="N22" s="690"/>
      <c r="O22" s="691"/>
      <c r="P22" s="691"/>
      <c r="Q22" s="691"/>
      <c r="R22" s="700"/>
      <c r="T22" s="1405" t="s">
        <v>26</v>
      </c>
      <c r="U22" s="1406"/>
      <c r="V22" s="1406"/>
      <c r="W22" s="1407"/>
      <c r="X22" s="61"/>
      <c r="Y22" s="61"/>
      <c r="Z22" s="19"/>
      <c r="AA22" s="62"/>
      <c r="AC22" s="302"/>
      <c r="AD22" s="795" t="s">
        <v>793</v>
      </c>
      <c r="AE22" s="784"/>
      <c r="AF22" s="784"/>
      <c r="AG22" s="784"/>
      <c r="AH22" s="784"/>
      <c r="AI22" s="785"/>
      <c r="AJ22" s="779">
        <f>AJ9-AJ20-AJ21</f>
        <v>0</v>
      </c>
      <c r="AK22" s="786">
        <v>2.5000000000000001E-3</v>
      </c>
      <c r="AL22" s="302"/>
      <c r="AM22" s="740" t="s">
        <v>473</v>
      </c>
      <c r="AN22" s="741"/>
      <c r="AO22" s="741"/>
      <c r="AP22" s="741"/>
      <c r="AQ22" s="742"/>
      <c r="AR22" s="802">
        <f>IFERROR(VLOOKUP(AR6,$AV$5:$AW$16,2,FALSE),0)</f>
        <v>0</v>
      </c>
      <c r="AS22" s="803">
        <f t="shared" ref="AS22:AT22" si="23">IFERROR(VLOOKUP(AS6,$AV$5:$AW$16,2,FALSE),0)</f>
        <v>0</v>
      </c>
      <c r="AT22" s="804">
        <f t="shared" si="23"/>
        <v>0</v>
      </c>
      <c r="AU22" s="302"/>
      <c r="AV22" s="302"/>
      <c r="AW22" s="302"/>
    </row>
    <row r="23" spans="2:49" x14ac:dyDescent="0.25">
      <c r="B23" s="1200" t="s">
        <v>27</v>
      </c>
      <c r="C23" s="1201"/>
      <c r="D23" s="1201"/>
      <c r="E23" s="1202"/>
      <c r="F23" s="55">
        <v>0.1</v>
      </c>
      <c r="G23" s="737">
        <f>G11*F23</f>
        <v>0</v>
      </c>
      <c r="H23" s="264">
        <f t="shared" si="18"/>
        <v>0</v>
      </c>
      <c r="I23" s="295">
        <f t="shared" si="19"/>
        <v>0</v>
      </c>
      <c r="J23" s="265">
        <f t="shared" si="20"/>
        <v>0</v>
      </c>
      <c r="K23" s="266">
        <f t="shared" si="21"/>
        <v>0</v>
      </c>
      <c r="L23" s="267">
        <f t="shared" si="22"/>
        <v>0</v>
      </c>
      <c r="N23" s="690"/>
      <c r="O23" s="691"/>
      <c r="P23" s="691"/>
      <c r="Q23" s="691"/>
      <c r="R23" s="700"/>
      <c r="T23" s="1405" t="s">
        <v>27</v>
      </c>
      <c r="U23" s="1406"/>
      <c r="V23" s="1406"/>
      <c r="W23" s="1407"/>
      <c r="X23" s="61"/>
      <c r="Y23" s="61"/>
      <c r="Z23" s="19"/>
      <c r="AA23" s="62"/>
      <c r="AC23" s="302"/>
      <c r="AD23" s="783" t="s">
        <v>485</v>
      </c>
      <c r="AE23" s="784"/>
      <c r="AF23" s="784"/>
      <c r="AG23" s="784"/>
      <c r="AH23" s="784"/>
      <c r="AI23" s="785"/>
      <c r="AJ23" s="779">
        <f>SUM(AJ20:AJ22)</f>
        <v>0</v>
      </c>
      <c r="AK23" s="780"/>
      <c r="AL23" s="302"/>
      <c r="AM23" s="740" t="s">
        <v>475</v>
      </c>
      <c r="AN23" s="741"/>
      <c r="AO23" s="741"/>
      <c r="AP23" s="741"/>
      <c r="AQ23" s="742"/>
      <c r="AR23" s="809"/>
      <c r="AS23" s="810"/>
      <c r="AT23" s="811"/>
      <c r="AU23" s="782" t="s">
        <v>476</v>
      </c>
      <c r="AV23" s="302"/>
      <c r="AW23" s="302"/>
    </row>
    <row r="24" spans="2:49" ht="15.75" thickBot="1" x14ac:dyDescent="0.3">
      <c r="B24" s="1217" t="s">
        <v>28</v>
      </c>
      <c r="C24" s="1218"/>
      <c r="D24" s="1218"/>
      <c r="E24" s="1219"/>
      <c r="F24" s="56">
        <v>0.05</v>
      </c>
      <c r="G24" s="812">
        <f>G12*F24</f>
        <v>0</v>
      </c>
      <c r="H24" s="747">
        <f t="shared" si="18"/>
        <v>0</v>
      </c>
      <c r="I24" s="296">
        <f t="shared" si="19"/>
        <v>0</v>
      </c>
      <c r="J24" s="268">
        <f t="shared" si="20"/>
        <v>0</v>
      </c>
      <c r="K24" s="269">
        <f t="shared" si="21"/>
        <v>0</v>
      </c>
      <c r="L24" s="270">
        <f t="shared" si="22"/>
        <v>0</v>
      </c>
      <c r="N24" s="690"/>
      <c r="O24" s="691"/>
      <c r="P24" s="691"/>
      <c r="Q24" s="691"/>
      <c r="R24" s="700"/>
      <c r="T24" s="1408" t="s">
        <v>28</v>
      </c>
      <c r="U24" s="1409"/>
      <c r="V24" s="1409"/>
      <c r="W24" s="1410"/>
      <c r="X24" s="53"/>
      <c r="Y24" s="53"/>
      <c r="Z24" s="20"/>
      <c r="AA24" s="54"/>
      <c r="AC24" s="302"/>
      <c r="AD24" s="805" t="s">
        <v>486</v>
      </c>
      <c r="AE24" s="806"/>
      <c r="AF24" s="806"/>
      <c r="AG24" s="806"/>
      <c r="AH24" s="806"/>
      <c r="AI24" s="807"/>
      <c r="AJ24" s="808">
        <f>IFERROR(SUMPRODUCT(AJ20:AJ22,$AK$20:$AK$22)/AJ23,0)</f>
        <v>0</v>
      </c>
      <c r="AK24" s="302"/>
      <c r="AL24" s="302"/>
      <c r="AM24" s="783" t="s">
        <v>479</v>
      </c>
      <c r="AN24" s="784"/>
      <c r="AO24" s="784"/>
      <c r="AP24" s="784"/>
      <c r="AQ24" s="785"/>
      <c r="AR24" s="802">
        <f t="shared" ref="AR24:AT24" si="24">AR13*AR8</f>
        <v>0</v>
      </c>
      <c r="AS24" s="803">
        <f t="shared" si="24"/>
        <v>0</v>
      </c>
      <c r="AT24" s="804">
        <f t="shared" si="24"/>
        <v>0</v>
      </c>
      <c r="AU24" s="786">
        <v>1.2500000000000001E-2</v>
      </c>
      <c r="AV24" s="302"/>
      <c r="AW24" s="302"/>
    </row>
    <row r="25" spans="2:49" x14ac:dyDescent="0.25">
      <c r="B25" s="1243" t="s">
        <v>29</v>
      </c>
      <c r="C25" s="1244"/>
      <c r="D25" s="1244"/>
      <c r="E25" s="1245"/>
      <c r="F25" s="340"/>
      <c r="G25" s="752">
        <f t="shared" ref="G25:L25" si="25">SUM(G22:G24)</f>
        <v>0</v>
      </c>
      <c r="H25" s="753">
        <f t="shared" si="25"/>
        <v>0</v>
      </c>
      <c r="I25" s="297">
        <f t="shared" si="25"/>
        <v>0</v>
      </c>
      <c r="J25" s="271">
        <f t="shared" si="25"/>
        <v>0</v>
      </c>
      <c r="K25" s="272">
        <f t="shared" si="25"/>
        <v>0</v>
      </c>
      <c r="L25" s="273">
        <f t="shared" si="25"/>
        <v>0</v>
      </c>
      <c r="N25" s="690"/>
      <c r="O25" s="691"/>
      <c r="P25" s="691"/>
      <c r="Q25" s="691"/>
      <c r="R25" s="700"/>
      <c r="T25" s="1414" t="s">
        <v>29</v>
      </c>
      <c r="U25" s="1415"/>
      <c r="V25" s="1415"/>
      <c r="W25" s="1416"/>
      <c r="X25" s="340">
        <f>SUM(X22:X24)</f>
        <v>0</v>
      </c>
      <c r="Y25" s="340">
        <f>SUM(Y22:Y24)</f>
        <v>0</v>
      </c>
      <c r="Z25" s="752">
        <f>SUM(Z22:Z24)</f>
        <v>0</v>
      </c>
      <c r="AA25" s="762">
        <f>SUM(AA22:AA24)</f>
        <v>0</v>
      </c>
      <c r="AC25" s="302"/>
      <c r="AD25" s="226" t="s">
        <v>727</v>
      </c>
      <c r="AE25" s="813"/>
      <c r="AF25" s="813"/>
      <c r="AG25" s="813"/>
      <c r="AH25" s="813"/>
      <c r="AI25" s="814"/>
      <c r="AJ25" s="815"/>
      <c r="AK25" s="302"/>
      <c r="AL25" s="302"/>
      <c r="AM25" s="783" t="s">
        <v>481</v>
      </c>
      <c r="AN25" s="784"/>
      <c r="AO25" s="784"/>
      <c r="AP25" s="784"/>
      <c r="AQ25" s="785"/>
      <c r="AR25" s="744">
        <f>IF(AR22="N/A",0,IFERROR(IF(AR9&lt;=AR22,AR9*AR10,AR10*AR22),0))</f>
        <v>0</v>
      </c>
      <c r="AS25" s="745">
        <f t="shared" ref="AS25:AT25" si="26">IF(AS22="N/A",0,IFERROR(IF(AS9&lt;=AS22,AS9*AS10,AS10*AS22),0))</f>
        <v>0</v>
      </c>
      <c r="AT25" s="746">
        <f t="shared" si="26"/>
        <v>0</v>
      </c>
      <c r="AU25" s="786">
        <v>7.4999999999999997E-3</v>
      </c>
      <c r="AV25" s="302"/>
      <c r="AW25" s="302"/>
    </row>
    <row r="26" spans="2:49" ht="15.75" thickBot="1" x14ac:dyDescent="0.3">
      <c r="B26" s="1340"/>
      <c r="C26" s="1341"/>
      <c r="D26" s="1341"/>
      <c r="E26" s="1342"/>
      <c r="F26" s="346"/>
      <c r="G26" s="818"/>
      <c r="H26" s="747"/>
      <c r="I26" s="299">
        <f>IFERROR(I25/(I19+I13),0)</f>
        <v>0</v>
      </c>
      <c r="J26" s="280">
        <f>IFERROR(J25/(J19+J13),0)</f>
        <v>0</v>
      </c>
      <c r="K26" s="281">
        <f t="shared" ref="K26:L26" si="27">IFERROR(K25/(K19+K13),0)</f>
        <v>0</v>
      </c>
      <c r="L26" s="282">
        <f t="shared" si="27"/>
        <v>0</v>
      </c>
      <c r="N26" s="690"/>
      <c r="O26" s="691"/>
      <c r="P26" s="691"/>
      <c r="Q26" s="691"/>
      <c r="R26" s="700"/>
      <c r="T26" s="1426"/>
      <c r="U26" s="1427"/>
      <c r="V26" s="1427"/>
      <c r="W26" s="1428"/>
      <c r="X26" s="819">
        <f>IFERROR(X25/(X19+X13),0)</f>
        <v>0</v>
      </c>
      <c r="Y26" s="819">
        <f t="shared" ref="Y26:AA26" si="28">IFERROR(Y25/(Y19+Y13),0)</f>
        <v>0</v>
      </c>
      <c r="Z26" s="820">
        <f t="shared" si="28"/>
        <v>0</v>
      </c>
      <c r="AA26" s="821">
        <f t="shared" si="28"/>
        <v>0</v>
      </c>
      <c r="AC26" s="302"/>
      <c r="AD26" s="816" t="s">
        <v>734</v>
      </c>
      <c r="AE26" s="741"/>
      <c r="AF26" s="741"/>
      <c r="AG26" s="741"/>
      <c r="AH26" s="741"/>
      <c r="AI26" s="742"/>
      <c r="AJ26" s="817">
        <f>AJ21*AK21+AJ22*AK22</f>
        <v>0</v>
      </c>
      <c r="AK26" s="302"/>
      <c r="AL26" s="302"/>
      <c r="AM26" s="783" t="s">
        <v>483</v>
      </c>
      <c r="AN26" s="784"/>
      <c r="AO26" s="784"/>
      <c r="AP26" s="784"/>
      <c r="AQ26" s="785"/>
      <c r="AR26" s="802">
        <f>AR8-AR24-AR25</f>
        <v>0</v>
      </c>
      <c r="AS26" s="803">
        <f>AS8-AS24-AS25</f>
        <v>0</v>
      </c>
      <c r="AT26" s="804">
        <f>AT8-AT24-AT25</f>
        <v>0</v>
      </c>
      <c r="AU26" s="786">
        <v>2.5000000000000001E-3</v>
      </c>
      <c r="AV26" s="302"/>
      <c r="AW26" s="302"/>
    </row>
    <row r="27" spans="2:49" x14ac:dyDescent="0.25">
      <c r="B27" s="1240" t="s">
        <v>30</v>
      </c>
      <c r="C27" s="1241"/>
      <c r="D27" s="1241"/>
      <c r="E27" s="1242"/>
      <c r="F27" s="340"/>
      <c r="G27" s="752">
        <f t="shared" ref="G27:L27" si="29">G13+G19-G25</f>
        <v>0</v>
      </c>
      <c r="H27" s="753">
        <f t="shared" si="29"/>
        <v>0</v>
      </c>
      <c r="I27" s="297">
        <f t="shared" si="29"/>
        <v>0</v>
      </c>
      <c r="J27" s="271">
        <f t="shared" si="29"/>
        <v>0</v>
      </c>
      <c r="K27" s="272">
        <f t="shared" si="29"/>
        <v>0</v>
      </c>
      <c r="L27" s="273">
        <f t="shared" si="29"/>
        <v>0</v>
      </c>
      <c r="N27" s="701"/>
      <c r="O27" s="702"/>
      <c r="P27" s="702"/>
      <c r="Q27" s="702"/>
      <c r="R27" s="700"/>
      <c r="T27" s="1420" t="s">
        <v>30</v>
      </c>
      <c r="U27" s="1421"/>
      <c r="V27" s="1421"/>
      <c r="W27" s="1422"/>
      <c r="X27" s="340">
        <f>X13+X19-X25</f>
        <v>0</v>
      </c>
      <c r="Y27" s="340">
        <f>Y13+Y19-Y25</f>
        <v>0</v>
      </c>
      <c r="Z27" s="752">
        <f>Z13+Z19-Z25</f>
        <v>0</v>
      </c>
      <c r="AA27" s="762">
        <f>AA13+AA19-AA25</f>
        <v>0</v>
      </c>
      <c r="AC27" s="302"/>
      <c r="AD27" s="816" t="s">
        <v>725</v>
      </c>
      <c r="AE27" s="741"/>
      <c r="AF27" s="741"/>
      <c r="AG27" s="741"/>
      <c r="AH27" s="741"/>
      <c r="AI27" s="742"/>
      <c r="AJ27" s="894"/>
      <c r="AK27" s="822"/>
      <c r="AL27" s="302"/>
      <c r="AM27" s="783" t="s">
        <v>485</v>
      </c>
      <c r="AN27" s="784"/>
      <c r="AO27" s="784"/>
      <c r="AP27" s="784"/>
      <c r="AQ27" s="785"/>
      <c r="AR27" s="802">
        <f t="shared" ref="AR27:AT27" si="30">SUM(AR24:AR26)</f>
        <v>0</v>
      </c>
      <c r="AS27" s="803">
        <f t="shared" si="30"/>
        <v>0</v>
      </c>
      <c r="AT27" s="804">
        <f t="shared" si="30"/>
        <v>0</v>
      </c>
      <c r="AU27" s="780"/>
      <c r="AV27" s="302"/>
      <c r="AW27" s="302"/>
    </row>
    <row r="28" spans="2:49" x14ac:dyDescent="0.25">
      <c r="B28" s="1200"/>
      <c r="C28" s="1201"/>
      <c r="D28" s="1201"/>
      <c r="E28" s="1202"/>
      <c r="F28" s="338"/>
      <c r="G28" s="737"/>
      <c r="H28" s="264"/>
      <c r="I28" s="295"/>
      <c r="J28" s="265"/>
      <c r="K28" s="266"/>
      <c r="L28" s="267"/>
      <c r="N28" s="690"/>
      <c r="O28" s="691"/>
      <c r="P28" s="691"/>
      <c r="Q28" s="691"/>
      <c r="R28" s="700"/>
      <c r="T28" s="1405"/>
      <c r="U28" s="1406"/>
      <c r="V28" s="1406"/>
      <c r="W28" s="1407"/>
      <c r="X28" s="338"/>
      <c r="Y28" s="338"/>
      <c r="Z28" s="737"/>
      <c r="AA28" s="264"/>
      <c r="AC28" s="302"/>
      <c r="AD28" s="823" t="s">
        <v>729</v>
      </c>
      <c r="AE28" s="824"/>
      <c r="AF28" s="824"/>
      <c r="AG28" s="824"/>
      <c r="AH28" s="824"/>
      <c r="AI28" s="825"/>
      <c r="AJ28" s="826">
        <f>AJ27*AJ26</f>
        <v>0</v>
      </c>
      <c r="AK28" s="302"/>
      <c r="AL28" s="302"/>
      <c r="AM28" s="740" t="s">
        <v>486</v>
      </c>
      <c r="AN28" s="741"/>
      <c r="AO28" s="741"/>
      <c r="AP28" s="741"/>
      <c r="AQ28" s="742"/>
      <c r="AR28" s="829">
        <f>IFERROR(SUMPRODUCT(AR24:AR26,$AU$24:$AU$26)/AR8,0)</f>
        <v>0</v>
      </c>
      <c r="AS28" s="830">
        <f>IFERROR(SUMPRODUCT(AS24:AS26,$AU$24:$AU$26)/AS8,0)</f>
        <v>0</v>
      </c>
      <c r="AT28" s="831">
        <f>IFERROR(SUMPRODUCT(AT24:AT26,$AU$24:$AU$26)/AT8,0)</f>
        <v>0</v>
      </c>
      <c r="AU28" s="302"/>
      <c r="AV28" s="302"/>
      <c r="AW28" s="302"/>
    </row>
    <row r="29" spans="2:49" x14ac:dyDescent="0.25">
      <c r="B29" s="1203" t="s">
        <v>15</v>
      </c>
      <c r="C29" s="1193"/>
      <c r="D29" s="1193"/>
      <c r="E29" s="1249"/>
      <c r="F29" s="338"/>
      <c r="G29" s="737"/>
      <c r="H29" s="264"/>
      <c r="I29" s="295"/>
      <c r="J29" s="265"/>
      <c r="K29" s="266"/>
      <c r="L29" s="267"/>
      <c r="N29" s="690"/>
      <c r="O29" s="691"/>
      <c r="P29" s="691"/>
      <c r="Q29" s="691"/>
      <c r="R29" s="700"/>
      <c r="T29" s="1190" t="s">
        <v>15</v>
      </c>
      <c r="U29" s="1191"/>
      <c r="V29" s="1191"/>
      <c r="W29" s="1230"/>
      <c r="X29" s="338"/>
      <c r="Y29" s="338"/>
      <c r="Z29" s="737"/>
      <c r="AA29" s="264"/>
      <c r="AC29" s="302"/>
      <c r="AD29" s="827" t="s">
        <v>733</v>
      </c>
      <c r="AE29" s="806"/>
      <c r="AF29" s="806"/>
      <c r="AG29" s="806"/>
      <c r="AH29" s="806"/>
      <c r="AI29" s="807"/>
      <c r="AJ29" s="828">
        <f>AJ20*AK20</f>
        <v>0</v>
      </c>
      <c r="AK29" s="302"/>
      <c r="AL29" s="302"/>
      <c r="AM29" s="740" t="s">
        <v>487</v>
      </c>
      <c r="AN29" s="741"/>
      <c r="AO29" s="741"/>
      <c r="AP29" s="741"/>
      <c r="AQ29" s="742"/>
      <c r="AR29" s="832">
        <f>AR28*AR27</f>
        <v>0</v>
      </c>
      <c r="AS29" s="833">
        <f t="shared" ref="AS29:AT29" si="31">AS28*AS27</f>
        <v>0</v>
      </c>
      <c r="AT29" s="834">
        <f t="shared" si="31"/>
        <v>0</v>
      </c>
      <c r="AU29" s="302"/>
      <c r="AV29" s="302"/>
      <c r="AW29" s="302"/>
    </row>
    <row r="30" spans="2:49" x14ac:dyDescent="0.25">
      <c r="B30" s="1339" t="s">
        <v>109</v>
      </c>
      <c r="C30" s="1201"/>
      <c r="D30" s="1201"/>
      <c r="E30" s="1202"/>
      <c r="F30" s="835" t="e">
        <f>G30/G27</f>
        <v>#DIV/0!</v>
      </c>
      <c r="G30" s="19"/>
      <c r="H30" s="264">
        <f t="shared" ref="H30:H35" si="32">IF($F$7&gt;0,G30/$F$7,)</f>
        <v>0</v>
      </c>
      <c r="I30" s="295">
        <f t="shared" ref="I30:I35" si="33">IFERROR(IF(I$8="Per Unit",X30/I$7,X30),0)</f>
        <v>0</v>
      </c>
      <c r="J30" s="283">
        <f t="shared" ref="J30:J35" si="34">IFERROR(IF(J$8="Per Unit",Y30/J$7,Y30),0)</f>
        <v>0</v>
      </c>
      <c r="K30" s="284">
        <f t="shared" ref="K30:K35" si="35">IFERROR(IF(K$8="Per Unit",Z30/K$7,Z30),0)</f>
        <v>0</v>
      </c>
      <c r="L30" s="285">
        <f t="shared" ref="L30:L35" si="36">IFERROR(IF(L$8="Per Unit",AA30/L$7,AA30),0)</f>
        <v>0</v>
      </c>
      <c r="N30" s="703"/>
      <c r="O30" s="704"/>
      <c r="P30" s="691"/>
      <c r="Q30" s="705"/>
      <c r="R30" s="700"/>
      <c r="T30" s="1423" t="s">
        <v>109</v>
      </c>
      <c r="U30" s="1424"/>
      <c r="V30" s="1424"/>
      <c r="W30" s="1425"/>
      <c r="X30" s="182"/>
      <c r="Y30" s="182"/>
      <c r="Z30" s="183"/>
      <c r="AA30" s="184"/>
      <c r="AC30" s="302"/>
      <c r="AD30" s="827" t="s">
        <v>725</v>
      </c>
      <c r="AE30" s="806"/>
      <c r="AF30" s="806"/>
      <c r="AG30" s="806"/>
      <c r="AH30" s="806"/>
      <c r="AI30" s="807"/>
      <c r="AJ30" s="808">
        <f>AJ27</f>
        <v>0</v>
      </c>
      <c r="AK30" s="302"/>
      <c r="AL30" s="302"/>
      <c r="AM30" s="740" t="s">
        <v>478</v>
      </c>
      <c r="AN30" s="741"/>
      <c r="AO30" s="741"/>
      <c r="AP30" s="741"/>
      <c r="AQ30" s="742"/>
      <c r="AR30" s="832">
        <f>AR18</f>
        <v>0</v>
      </c>
      <c r="AS30" s="833">
        <f t="shared" ref="AS30:AT30" si="37">AS18</f>
        <v>0</v>
      </c>
      <c r="AT30" s="834">
        <f t="shared" si="37"/>
        <v>0</v>
      </c>
      <c r="AU30" s="302"/>
      <c r="AV30" s="302"/>
      <c r="AW30" s="302"/>
    </row>
    <row r="31" spans="2:49" ht="15.75" thickBot="1" x14ac:dyDescent="0.3">
      <c r="B31" s="1200" t="s">
        <v>16</v>
      </c>
      <c r="C31" s="1201"/>
      <c r="D31" s="1201"/>
      <c r="E31" s="1202"/>
      <c r="F31" s="338"/>
      <c r="G31" s="19"/>
      <c r="H31" s="264">
        <f t="shared" si="32"/>
        <v>0</v>
      </c>
      <c r="I31" s="295">
        <f t="shared" si="33"/>
        <v>0</v>
      </c>
      <c r="J31" s="283">
        <f t="shared" si="34"/>
        <v>0</v>
      </c>
      <c r="K31" s="284">
        <f t="shared" si="35"/>
        <v>0</v>
      </c>
      <c r="L31" s="285">
        <f t="shared" si="36"/>
        <v>0</v>
      </c>
      <c r="N31" s="703"/>
      <c r="O31" s="704"/>
      <c r="P31" s="691"/>
      <c r="Q31" s="691"/>
      <c r="R31" s="700"/>
      <c r="T31" s="1405" t="s">
        <v>16</v>
      </c>
      <c r="U31" s="1406"/>
      <c r="V31" s="1406"/>
      <c r="W31" s="1407"/>
      <c r="X31" s="182"/>
      <c r="Y31" s="182"/>
      <c r="Z31" s="183"/>
      <c r="AA31" s="184"/>
      <c r="AC31" s="302"/>
      <c r="AD31" s="836" t="s">
        <v>730</v>
      </c>
      <c r="AE31" s="837"/>
      <c r="AF31" s="837"/>
      <c r="AG31" s="837"/>
      <c r="AH31" s="837"/>
      <c r="AI31" s="838"/>
      <c r="AJ31" s="839">
        <f>AJ30*AJ29</f>
        <v>0</v>
      </c>
      <c r="AK31" s="302"/>
      <c r="AL31" s="302"/>
      <c r="AM31" s="840" t="s">
        <v>741</v>
      </c>
      <c r="AN31" s="841"/>
      <c r="AO31" s="841"/>
      <c r="AP31" s="841"/>
      <c r="AQ31" s="842"/>
      <c r="AR31" s="844">
        <f>IFERROR(AR30/AR29,0)</f>
        <v>0</v>
      </c>
      <c r="AS31" s="845">
        <f>IFERROR(AS30/AS29,0)</f>
        <v>0</v>
      </c>
      <c r="AT31" s="846">
        <f t="shared" ref="AT31" si="38">IFERROR(AT30/AT29,0)</f>
        <v>0</v>
      </c>
      <c r="AU31" s="302"/>
      <c r="AV31" s="302"/>
      <c r="AW31" s="302"/>
    </row>
    <row r="32" spans="2:49" ht="15.75" thickBot="1" x14ac:dyDescent="0.3">
      <c r="B32" s="1200" t="s">
        <v>17</v>
      </c>
      <c r="C32" s="1201"/>
      <c r="D32" s="1201"/>
      <c r="E32" s="1202"/>
      <c r="F32" s="338"/>
      <c r="G32" s="19"/>
      <c r="H32" s="264">
        <f t="shared" si="32"/>
        <v>0</v>
      </c>
      <c r="I32" s="295">
        <f t="shared" si="33"/>
        <v>0</v>
      </c>
      <c r="J32" s="283">
        <f t="shared" si="34"/>
        <v>0</v>
      </c>
      <c r="K32" s="284">
        <f t="shared" si="35"/>
        <v>0</v>
      </c>
      <c r="L32" s="285">
        <f t="shared" si="36"/>
        <v>0</v>
      </c>
      <c r="N32" s="703"/>
      <c r="O32" s="704"/>
      <c r="P32" s="691"/>
      <c r="Q32" s="691"/>
      <c r="R32" s="700"/>
      <c r="T32" s="1405" t="s">
        <v>17</v>
      </c>
      <c r="U32" s="1406"/>
      <c r="V32" s="1406"/>
      <c r="W32" s="1407"/>
      <c r="X32" s="182"/>
      <c r="Y32" s="182"/>
      <c r="Z32" s="183"/>
      <c r="AA32" s="184"/>
      <c r="AD32" s="840" t="s">
        <v>726</v>
      </c>
      <c r="AE32" s="841"/>
      <c r="AF32" s="841"/>
      <c r="AG32" s="841"/>
      <c r="AH32" s="841"/>
      <c r="AI32" s="842"/>
      <c r="AJ32" s="843">
        <f>AJ31+AJ28</f>
        <v>0</v>
      </c>
      <c r="AK32" s="302"/>
      <c r="AM32" s="789" t="s">
        <v>675</v>
      </c>
      <c r="AN32" s="790"/>
      <c r="AO32" s="790"/>
      <c r="AP32" s="790"/>
      <c r="AQ32" s="791"/>
      <c r="AR32" s="792">
        <f>IFERROR(AR20/AR12,0)</f>
        <v>0</v>
      </c>
      <c r="AS32" s="793">
        <f t="shared" ref="AS32:AT32" si="39">IFERROR(AS20/AS12,0)</f>
        <v>0</v>
      </c>
      <c r="AT32" s="794">
        <f t="shared" si="39"/>
        <v>0</v>
      </c>
    </row>
    <row r="33" spans="2:36" x14ac:dyDescent="0.25">
      <c r="B33" s="1200" t="s">
        <v>18</v>
      </c>
      <c r="C33" s="1201"/>
      <c r="D33" s="1201"/>
      <c r="E33" s="1202"/>
      <c r="F33" s="338"/>
      <c r="G33" s="19"/>
      <c r="H33" s="264">
        <f t="shared" si="32"/>
        <v>0</v>
      </c>
      <c r="I33" s="295">
        <f t="shared" si="33"/>
        <v>0</v>
      </c>
      <c r="J33" s="283">
        <f t="shared" si="34"/>
        <v>0</v>
      </c>
      <c r="K33" s="284">
        <f t="shared" si="35"/>
        <v>0</v>
      </c>
      <c r="L33" s="285">
        <f t="shared" si="36"/>
        <v>0</v>
      </c>
      <c r="N33" s="703"/>
      <c r="O33" s="704"/>
      <c r="P33" s="691"/>
      <c r="Q33" s="691"/>
      <c r="R33" s="700"/>
      <c r="T33" s="1405" t="s">
        <v>18</v>
      </c>
      <c r="U33" s="1406"/>
      <c r="V33" s="1406"/>
      <c r="W33" s="1407"/>
      <c r="X33" s="182"/>
      <c r="Y33" s="182"/>
      <c r="Z33" s="183"/>
      <c r="AA33" s="184"/>
      <c r="AD33" s="226" t="s">
        <v>737</v>
      </c>
      <c r="AE33" s="847"/>
      <c r="AF33" s="847"/>
      <c r="AG33" s="847"/>
      <c r="AH33" s="847"/>
      <c r="AI33" s="848"/>
      <c r="AJ33" s="849"/>
    </row>
    <row r="34" spans="2:36" x14ac:dyDescent="0.25">
      <c r="B34" s="1200" t="s">
        <v>19</v>
      </c>
      <c r="C34" s="1201"/>
      <c r="D34" s="1201"/>
      <c r="E34" s="1202"/>
      <c r="F34" s="338"/>
      <c r="G34" s="19"/>
      <c r="H34" s="264">
        <f t="shared" si="32"/>
        <v>0</v>
      </c>
      <c r="I34" s="295">
        <f t="shared" si="33"/>
        <v>0</v>
      </c>
      <c r="J34" s="283">
        <f t="shared" si="34"/>
        <v>0</v>
      </c>
      <c r="K34" s="284">
        <f t="shared" si="35"/>
        <v>0</v>
      </c>
      <c r="L34" s="285">
        <f t="shared" si="36"/>
        <v>0</v>
      </c>
      <c r="N34" s="703"/>
      <c r="O34" s="704"/>
      <c r="P34" s="691"/>
      <c r="Q34" s="691"/>
      <c r="R34" s="700"/>
      <c r="T34" s="1405" t="s">
        <v>19</v>
      </c>
      <c r="U34" s="1406"/>
      <c r="V34" s="1406"/>
      <c r="W34" s="1407"/>
      <c r="X34" s="182"/>
      <c r="Y34" s="182"/>
      <c r="Z34" s="183"/>
      <c r="AA34" s="184"/>
      <c r="AD34" s="827" t="s">
        <v>738</v>
      </c>
      <c r="AE34" s="806"/>
      <c r="AF34" s="806"/>
      <c r="AG34" s="806"/>
      <c r="AH34" s="806"/>
      <c r="AI34" s="807"/>
      <c r="AJ34" s="894"/>
    </row>
    <row r="35" spans="2:36" ht="15.75" thickBot="1" x14ac:dyDescent="0.3">
      <c r="B35" s="1217" t="s">
        <v>20</v>
      </c>
      <c r="C35" s="1218"/>
      <c r="D35" s="1218"/>
      <c r="E35" s="1219"/>
      <c r="F35" s="339"/>
      <c r="G35" s="20"/>
      <c r="H35" s="747">
        <f t="shared" si="32"/>
        <v>0</v>
      </c>
      <c r="I35" s="296">
        <f t="shared" si="33"/>
        <v>0</v>
      </c>
      <c r="J35" s="286">
        <f t="shared" si="34"/>
        <v>0</v>
      </c>
      <c r="K35" s="287">
        <f t="shared" si="35"/>
        <v>0</v>
      </c>
      <c r="L35" s="288">
        <f t="shared" si="36"/>
        <v>0</v>
      </c>
      <c r="N35" s="703"/>
      <c r="O35" s="704"/>
      <c r="P35" s="691"/>
      <c r="Q35" s="691"/>
      <c r="R35" s="700"/>
      <c r="T35" s="1408" t="s">
        <v>20</v>
      </c>
      <c r="U35" s="1409"/>
      <c r="V35" s="1409"/>
      <c r="W35" s="1410"/>
      <c r="X35" s="185"/>
      <c r="Y35" s="185"/>
      <c r="Z35" s="186"/>
      <c r="AA35" s="187"/>
      <c r="AD35" s="827" t="s">
        <v>728</v>
      </c>
      <c r="AE35" s="806"/>
      <c r="AF35" s="806"/>
      <c r="AG35" s="806"/>
      <c r="AH35" s="806"/>
      <c r="AI35" s="807"/>
      <c r="AJ35" s="828">
        <f>AJ20</f>
        <v>0</v>
      </c>
    </row>
    <row r="36" spans="2:36" x14ac:dyDescent="0.25">
      <c r="B36" s="1243" t="s">
        <v>21</v>
      </c>
      <c r="C36" s="1244"/>
      <c r="D36" s="1244"/>
      <c r="E36" s="1245"/>
      <c r="F36" s="340"/>
      <c r="G36" s="752">
        <f t="shared" ref="G36:L36" si="40">SUM(G30:G35)</f>
        <v>0</v>
      </c>
      <c r="H36" s="753">
        <f t="shared" si="40"/>
        <v>0</v>
      </c>
      <c r="I36" s="297">
        <f t="shared" si="40"/>
        <v>0</v>
      </c>
      <c r="J36" s="271">
        <f t="shared" si="40"/>
        <v>0</v>
      </c>
      <c r="K36" s="272">
        <f t="shared" si="40"/>
        <v>0</v>
      </c>
      <c r="L36" s="273">
        <f t="shared" si="40"/>
        <v>0</v>
      </c>
      <c r="N36" s="706"/>
      <c r="O36" s="704"/>
      <c r="P36" s="691"/>
      <c r="Q36" s="691"/>
      <c r="R36" s="700"/>
      <c r="T36" s="1414" t="s">
        <v>21</v>
      </c>
      <c r="U36" s="1415"/>
      <c r="V36" s="1415"/>
      <c r="W36" s="1416"/>
      <c r="X36" s="340">
        <f>SUM(X30:X35)</f>
        <v>0</v>
      </c>
      <c r="Y36" s="340">
        <f>SUM(Y30:Y35)</f>
        <v>0</v>
      </c>
      <c r="Z36" s="752">
        <f>SUM(Z30:Z35)</f>
        <v>0</v>
      </c>
      <c r="AA36" s="762">
        <f>SUM(AA30:AA35)</f>
        <v>0</v>
      </c>
      <c r="AD36" s="836" t="s">
        <v>739</v>
      </c>
      <c r="AE36" s="837"/>
      <c r="AF36" s="837"/>
      <c r="AG36" s="837"/>
      <c r="AH36" s="837"/>
      <c r="AI36" s="838"/>
      <c r="AJ36" s="839">
        <f>AJ35*AJ34</f>
        <v>0</v>
      </c>
    </row>
    <row r="37" spans="2:36" ht="15.75" thickBot="1" x14ac:dyDescent="0.3">
      <c r="B37" s="1200"/>
      <c r="C37" s="1201"/>
      <c r="D37" s="1201"/>
      <c r="E37" s="1202"/>
      <c r="F37" s="338"/>
      <c r="G37" s="737"/>
      <c r="H37" s="264"/>
      <c r="I37" s="295"/>
      <c r="J37" s="265"/>
      <c r="K37" s="266"/>
      <c r="L37" s="267"/>
      <c r="N37" s="707"/>
      <c r="O37" s="708"/>
      <c r="P37" s="708"/>
      <c r="Q37" s="708"/>
      <c r="R37" s="709"/>
      <c r="T37" s="1405"/>
      <c r="U37" s="1406"/>
      <c r="V37" s="1406"/>
      <c r="W37" s="1407"/>
      <c r="X37" s="338"/>
      <c r="Y37" s="338"/>
      <c r="Z37" s="737"/>
      <c r="AA37" s="264"/>
      <c r="AD37" s="850" t="s">
        <v>735</v>
      </c>
      <c r="AE37" s="806"/>
      <c r="AF37" s="806"/>
      <c r="AG37" s="806"/>
      <c r="AH37" s="806"/>
      <c r="AI37" s="807"/>
      <c r="AJ37" s="894">
        <f>AJ34*100</f>
        <v>0</v>
      </c>
    </row>
    <row r="38" spans="2:36" ht="15.75" thickBot="1" x14ac:dyDescent="0.3">
      <c r="B38" s="1200" t="s">
        <v>22</v>
      </c>
      <c r="C38" s="1201"/>
      <c r="D38" s="1201"/>
      <c r="E38" s="1202"/>
      <c r="F38" s="338"/>
      <c r="G38" s="19"/>
      <c r="H38" s="264">
        <f t="shared" ref="H38:H40" si="41">IF($F$7&gt;0,G38/$F$7,)</f>
        <v>0</v>
      </c>
      <c r="I38" s="295">
        <f t="shared" ref="I38:I40" si="42">IFERROR(IF(I$8="Per Unit",X38/I$7,X38),0)</f>
        <v>0</v>
      </c>
      <c r="J38" s="283">
        <f t="shared" ref="J38:J40" si="43">IFERROR(IF(J$8="Per Unit",Y38/J$7,Y38),0)</f>
        <v>0</v>
      </c>
      <c r="K38" s="289">
        <f t="shared" ref="K38:K40" si="44">IFERROR(IF(K$8="Per Unit",Z38/K$7,Z38),0)</f>
        <v>0</v>
      </c>
      <c r="L38" s="285">
        <f t="shared" ref="L38:L40" si="45">IFERROR(IF(L$8="Per Unit",AA38/L$7,AA38),0)</f>
        <v>0</v>
      </c>
      <c r="N38" s="710">
        <f>AJ45</f>
        <v>0</v>
      </c>
      <c r="O38" s="711" t="s">
        <v>496</v>
      </c>
      <c r="P38" s="711"/>
      <c r="Q38" s="711"/>
      <c r="R38" s="712"/>
      <c r="T38" s="1405" t="s">
        <v>22</v>
      </c>
      <c r="U38" s="1406"/>
      <c r="V38" s="1406"/>
      <c r="W38" s="1407"/>
      <c r="X38" s="182"/>
      <c r="Y38" s="182"/>
      <c r="Z38" s="224"/>
      <c r="AA38" s="184"/>
      <c r="AD38" s="827" t="s">
        <v>731</v>
      </c>
      <c r="AE38" s="806"/>
      <c r="AF38" s="806"/>
      <c r="AG38" s="806"/>
      <c r="AH38" s="806"/>
      <c r="AI38" s="807"/>
      <c r="AJ38" s="828">
        <f>AJ26</f>
        <v>0</v>
      </c>
    </row>
    <row r="39" spans="2:36" x14ac:dyDescent="0.25">
      <c r="B39" s="1236" t="s">
        <v>98</v>
      </c>
      <c r="C39" s="1201"/>
      <c r="D39" s="1201"/>
      <c r="E39" s="1202"/>
      <c r="F39" s="338"/>
      <c r="G39" s="19"/>
      <c r="H39" s="264">
        <f t="shared" si="41"/>
        <v>0</v>
      </c>
      <c r="I39" s="295">
        <f t="shared" si="42"/>
        <v>0</v>
      </c>
      <c r="J39" s="283">
        <f t="shared" si="43"/>
        <v>0</v>
      </c>
      <c r="K39" s="284">
        <f t="shared" si="44"/>
        <v>0</v>
      </c>
      <c r="L39" s="285">
        <f t="shared" si="45"/>
        <v>0</v>
      </c>
      <c r="M39" s="851"/>
      <c r="N39" s="697"/>
      <c r="O39" s="698"/>
      <c r="P39" s="698"/>
      <c r="Q39" s="698"/>
      <c r="R39" s="699"/>
      <c r="T39" s="1411" t="s">
        <v>98</v>
      </c>
      <c r="U39" s="1412"/>
      <c r="V39" s="1412"/>
      <c r="W39" s="1413"/>
      <c r="X39" s="182"/>
      <c r="Y39" s="182"/>
      <c r="Z39" s="183"/>
      <c r="AA39" s="184"/>
      <c r="AD39" s="836" t="s">
        <v>740</v>
      </c>
      <c r="AE39" s="837"/>
      <c r="AF39" s="837"/>
      <c r="AG39" s="837"/>
      <c r="AH39" s="837"/>
      <c r="AI39" s="838"/>
      <c r="AJ39" s="839">
        <f>AJ38*AJ37</f>
        <v>0</v>
      </c>
    </row>
    <row r="40" spans="2:36" ht="15.75" thickBot="1" x14ac:dyDescent="0.3">
      <c r="B40" s="1217" t="s">
        <v>13</v>
      </c>
      <c r="C40" s="1218"/>
      <c r="D40" s="1218"/>
      <c r="E40" s="1219"/>
      <c r="F40" s="339"/>
      <c r="G40" s="20"/>
      <c r="H40" s="747">
        <f t="shared" si="41"/>
        <v>0</v>
      </c>
      <c r="I40" s="296">
        <f t="shared" si="42"/>
        <v>0</v>
      </c>
      <c r="J40" s="286">
        <f t="shared" si="43"/>
        <v>0</v>
      </c>
      <c r="K40" s="290">
        <f t="shared" si="44"/>
        <v>0</v>
      </c>
      <c r="L40" s="288">
        <f t="shared" si="45"/>
        <v>0</v>
      </c>
      <c r="N40" s="690"/>
      <c r="O40" s="691"/>
      <c r="P40" s="691"/>
      <c r="Q40" s="691"/>
      <c r="R40" s="700"/>
      <c r="T40" s="1408" t="s">
        <v>13</v>
      </c>
      <c r="U40" s="1409"/>
      <c r="V40" s="1409"/>
      <c r="W40" s="1410"/>
      <c r="X40" s="185"/>
      <c r="Y40" s="185"/>
      <c r="Z40" s="188"/>
      <c r="AA40" s="187"/>
      <c r="AD40" s="840" t="s">
        <v>736</v>
      </c>
      <c r="AE40" s="841"/>
      <c r="AF40" s="841"/>
      <c r="AG40" s="841"/>
      <c r="AH40" s="841"/>
      <c r="AI40" s="842"/>
      <c r="AJ40" s="843">
        <f>AJ39+AJ36</f>
        <v>0</v>
      </c>
    </row>
    <row r="41" spans="2:36" x14ac:dyDescent="0.25">
      <c r="B41" s="1240" t="s">
        <v>32</v>
      </c>
      <c r="C41" s="1241"/>
      <c r="D41" s="1241"/>
      <c r="E41" s="1242"/>
      <c r="F41" s="340"/>
      <c r="G41" s="752">
        <f t="shared" ref="G41:L41" si="46">SUM(G36,G38:G40)</f>
        <v>0</v>
      </c>
      <c r="H41" s="753">
        <f t="shared" si="46"/>
        <v>0</v>
      </c>
      <c r="I41" s="297">
        <f t="shared" si="46"/>
        <v>0</v>
      </c>
      <c r="J41" s="271">
        <f t="shared" si="46"/>
        <v>0</v>
      </c>
      <c r="K41" s="272">
        <f t="shared" si="46"/>
        <v>0</v>
      </c>
      <c r="L41" s="273">
        <f t="shared" si="46"/>
        <v>0</v>
      </c>
      <c r="N41" s="701"/>
      <c r="O41" s="702"/>
      <c r="P41" s="702"/>
      <c r="Q41" s="702"/>
      <c r="R41" s="700"/>
      <c r="T41" s="1420" t="s">
        <v>32</v>
      </c>
      <c r="U41" s="1421"/>
      <c r="V41" s="1421"/>
      <c r="W41" s="1422"/>
      <c r="X41" s="340">
        <f>SUM(X36,X38:X40)</f>
        <v>0</v>
      </c>
      <c r="Y41" s="340">
        <f t="shared" ref="Y41:AA41" si="47">SUM(Y36,Y38:Y40)</f>
        <v>0</v>
      </c>
      <c r="Z41" s="752">
        <f t="shared" si="47"/>
        <v>0</v>
      </c>
      <c r="AA41" s="762">
        <f t="shared" si="47"/>
        <v>0</v>
      </c>
      <c r="AD41" s="226" t="s">
        <v>732</v>
      </c>
      <c r="AE41" s="847"/>
      <c r="AF41" s="847"/>
      <c r="AG41" s="847"/>
      <c r="AH41" s="847"/>
      <c r="AI41" s="848"/>
      <c r="AJ41" s="849"/>
    </row>
    <row r="42" spans="2:36" ht="15.75" thickBot="1" x14ac:dyDescent="0.3">
      <c r="B42" s="1217"/>
      <c r="C42" s="1218"/>
      <c r="D42" s="1218"/>
      <c r="E42" s="1219"/>
      <c r="F42" s="339"/>
      <c r="G42" s="812"/>
      <c r="H42" s="747"/>
      <c r="I42" s="296"/>
      <c r="J42" s="268"/>
      <c r="K42" s="269"/>
      <c r="L42" s="270"/>
      <c r="N42" s="690"/>
      <c r="O42" s="691"/>
      <c r="P42" s="691"/>
      <c r="Q42" s="691"/>
      <c r="R42" s="700"/>
      <c r="T42" s="1408"/>
      <c r="U42" s="1409"/>
      <c r="V42" s="1409"/>
      <c r="W42" s="1410"/>
      <c r="X42" s="339"/>
      <c r="Y42" s="339"/>
      <c r="Z42" s="812"/>
      <c r="AA42" s="747"/>
      <c r="AD42" s="827" t="s">
        <v>726</v>
      </c>
      <c r="AE42" s="806"/>
      <c r="AF42" s="806"/>
      <c r="AG42" s="806"/>
      <c r="AH42" s="806"/>
      <c r="AI42" s="807"/>
      <c r="AJ42" s="828">
        <f>AJ32</f>
        <v>0</v>
      </c>
    </row>
    <row r="43" spans="2:36" x14ac:dyDescent="0.25">
      <c r="B43" s="1240" t="s">
        <v>33</v>
      </c>
      <c r="C43" s="1241"/>
      <c r="D43" s="1241"/>
      <c r="E43" s="1242"/>
      <c r="F43" s="340"/>
      <c r="G43" s="752">
        <f t="shared" ref="G43:L43" si="48">G27-G41</f>
        <v>0</v>
      </c>
      <c r="H43" s="753">
        <f t="shared" si="48"/>
        <v>0</v>
      </c>
      <c r="I43" s="297">
        <f t="shared" si="48"/>
        <v>0</v>
      </c>
      <c r="J43" s="271">
        <f t="shared" si="48"/>
        <v>0</v>
      </c>
      <c r="K43" s="272">
        <f t="shared" si="48"/>
        <v>0</v>
      </c>
      <c r="L43" s="273">
        <f t="shared" si="48"/>
        <v>0</v>
      </c>
      <c r="N43" s="701"/>
      <c r="O43" s="702"/>
      <c r="P43" s="702"/>
      <c r="Q43" s="702"/>
      <c r="R43" s="700"/>
      <c r="T43" s="1420" t="s">
        <v>33</v>
      </c>
      <c r="U43" s="1421"/>
      <c r="V43" s="1421"/>
      <c r="W43" s="1422"/>
      <c r="X43" s="340">
        <f>X27-X41</f>
        <v>0</v>
      </c>
      <c r="Y43" s="340">
        <f>Y27-Y41</f>
        <v>0</v>
      </c>
      <c r="Z43" s="752">
        <f>Z27-Z41</f>
        <v>0</v>
      </c>
      <c r="AA43" s="762">
        <f>AA27-AA41</f>
        <v>0</v>
      </c>
      <c r="AD43" s="827" t="s">
        <v>736</v>
      </c>
      <c r="AE43" s="806"/>
      <c r="AF43" s="806"/>
      <c r="AG43" s="806"/>
      <c r="AH43" s="806"/>
      <c r="AI43" s="807"/>
      <c r="AJ43" s="828">
        <f>AJ40</f>
        <v>0</v>
      </c>
    </row>
    <row r="44" spans="2:36" ht="15.75" thickBot="1" x14ac:dyDescent="0.3">
      <c r="B44" s="1217" t="s">
        <v>45</v>
      </c>
      <c r="C44" s="1218"/>
      <c r="D44" s="1218"/>
      <c r="E44" s="1219"/>
      <c r="F44" s="339"/>
      <c r="G44" s="20"/>
      <c r="H44" s="264">
        <f t="shared" ref="H44" si="49">IF($F$7&gt;0,G44/$F$7,)</f>
        <v>0</v>
      </c>
      <c r="I44" s="296">
        <f t="shared" ref="I44:L44" si="50">IFERROR(IF(I$8="Per Unit",X44/I$7,X44),0)</f>
        <v>0</v>
      </c>
      <c r="J44" s="268">
        <f t="shared" si="50"/>
        <v>0</v>
      </c>
      <c r="K44" s="269">
        <f t="shared" si="50"/>
        <v>0</v>
      </c>
      <c r="L44" s="270">
        <f t="shared" si="50"/>
        <v>0</v>
      </c>
      <c r="N44" s="690"/>
      <c r="O44" s="691"/>
      <c r="P44" s="691"/>
      <c r="Q44" s="691"/>
      <c r="R44" s="700"/>
      <c r="T44" s="1408" t="s">
        <v>45</v>
      </c>
      <c r="U44" s="1409"/>
      <c r="V44" s="1409"/>
      <c r="W44" s="1410"/>
      <c r="X44" s="53"/>
      <c r="Y44" s="53"/>
      <c r="Z44" s="20"/>
      <c r="AA44" s="54"/>
      <c r="AD44" s="805" t="s">
        <v>488</v>
      </c>
      <c r="AE44" s="806"/>
      <c r="AF44" s="806"/>
      <c r="AG44" s="806"/>
      <c r="AH44" s="806"/>
      <c r="AI44" s="807"/>
      <c r="AJ44" s="895"/>
    </row>
    <row r="45" spans="2:36" ht="15.75" thickBot="1" x14ac:dyDescent="0.3">
      <c r="B45" s="330" t="s">
        <v>107</v>
      </c>
      <c r="C45" s="331"/>
      <c r="D45" s="331"/>
      <c r="E45" s="331"/>
      <c r="F45" s="331"/>
      <c r="G45" s="331"/>
      <c r="H45" s="331"/>
      <c r="I45" s="856"/>
      <c r="J45" s="331"/>
      <c r="K45" s="331"/>
      <c r="L45" s="331"/>
      <c r="M45" s="857"/>
      <c r="N45" s="690"/>
      <c r="O45" s="691"/>
      <c r="P45" s="691"/>
      <c r="Q45" s="691"/>
      <c r="R45" s="700"/>
      <c r="T45" s="330" t="s">
        <v>107</v>
      </c>
      <c r="U45" s="331"/>
      <c r="V45" s="331"/>
      <c r="W45" s="331"/>
      <c r="X45" s="331"/>
      <c r="Y45" s="331"/>
      <c r="Z45" s="331"/>
      <c r="AA45" s="856"/>
      <c r="AD45" s="852" t="s">
        <v>489</v>
      </c>
      <c r="AE45" s="853"/>
      <c r="AF45" s="853"/>
      <c r="AG45" s="853"/>
      <c r="AH45" s="853"/>
      <c r="AI45" s="854"/>
      <c r="AJ45" s="855">
        <f>SUM(AJ42:AJ44)</f>
        <v>0</v>
      </c>
    </row>
    <row r="46" spans="2:36" ht="15.75" thickBot="1" x14ac:dyDescent="0.3">
      <c r="B46" s="1252" t="s">
        <v>6</v>
      </c>
      <c r="C46" s="1253"/>
      <c r="D46" s="1253"/>
      <c r="E46" s="1254"/>
      <c r="F46" s="347"/>
      <c r="G46" s="348" t="s">
        <v>34</v>
      </c>
      <c r="H46" s="859"/>
      <c r="I46" s="349" t="str">
        <f>I5</f>
        <v>Appraisal</v>
      </c>
      <c r="J46" s="350">
        <f>J5</f>
        <v>0</v>
      </c>
      <c r="K46" s="351">
        <f t="shared" ref="K46:L46" si="51">K5</f>
        <v>0</v>
      </c>
      <c r="L46" s="352">
        <f t="shared" si="51"/>
        <v>0</v>
      </c>
      <c r="N46" s="690"/>
      <c r="O46" s="691"/>
      <c r="P46" s="691"/>
      <c r="Q46" s="691"/>
      <c r="R46" s="700"/>
      <c r="T46" s="776" t="s">
        <v>6</v>
      </c>
      <c r="U46" s="860"/>
      <c r="V46" s="860"/>
      <c r="W46" s="861"/>
      <c r="X46" s="862" t="str">
        <f>X8</f>
        <v>Appraisal</v>
      </c>
      <c r="Y46" s="350">
        <f>Y5</f>
        <v>0</v>
      </c>
      <c r="Z46" s="351">
        <f t="shared" ref="Z46:AA46" si="52">Z5</f>
        <v>0</v>
      </c>
      <c r="AA46" s="352">
        <f t="shared" si="52"/>
        <v>0</v>
      </c>
      <c r="AD46" s="1417" t="s">
        <v>675</v>
      </c>
      <c r="AE46" s="1418"/>
      <c r="AF46" s="1418"/>
      <c r="AG46" s="1418"/>
      <c r="AH46" s="1418"/>
      <c r="AI46" s="1419"/>
      <c r="AJ46" s="858">
        <f>IFERROR(AJ45/AJ13,0)</f>
        <v>0</v>
      </c>
    </row>
    <row r="47" spans="2:36" x14ac:dyDescent="0.25">
      <c r="B47" s="1190"/>
      <c r="C47" s="1191"/>
      <c r="D47" s="1191"/>
      <c r="E47" s="1230"/>
      <c r="F47" s="337"/>
      <c r="G47" s="353">
        <f>F6</f>
        <v>0</v>
      </c>
      <c r="H47" s="863"/>
      <c r="I47" s="354">
        <f>I6</f>
        <v>0</v>
      </c>
      <c r="J47" s="355">
        <f>J6</f>
        <v>0</v>
      </c>
      <c r="K47" s="356">
        <f>K6</f>
        <v>0</v>
      </c>
      <c r="L47" s="357">
        <f>L6</f>
        <v>0</v>
      </c>
      <c r="N47" s="690"/>
      <c r="O47" s="691"/>
      <c r="P47" s="691"/>
      <c r="Q47" s="691"/>
      <c r="R47" s="700"/>
      <c r="T47" s="864"/>
      <c r="U47" s="865"/>
      <c r="V47" s="865"/>
      <c r="W47" s="866"/>
      <c r="X47" s="867"/>
      <c r="Y47" s="355">
        <f>Y6</f>
        <v>0</v>
      </c>
      <c r="Z47" s="356">
        <f>Z6</f>
        <v>0</v>
      </c>
      <c r="AA47" s="357">
        <f>AA6</f>
        <v>0</v>
      </c>
      <c r="AD47" s="302"/>
      <c r="AE47" s="302"/>
      <c r="AF47" s="302"/>
      <c r="AG47" s="302"/>
      <c r="AH47" s="302"/>
      <c r="AI47" s="302"/>
      <c r="AJ47" s="302"/>
    </row>
    <row r="48" spans="2:36" x14ac:dyDescent="0.25">
      <c r="B48" s="1200" t="s">
        <v>46</v>
      </c>
      <c r="C48" s="1201"/>
      <c r="D48" s="1201"/>
      <c r="E48" s="1202"/>
      <c r="F48" s="358"/>
      <c r="G48" s="868">
        <f>IF(G10&gt;0,G22/(G10+G19),)</f>
        <v>0</v>
      </c>
      <c r="H48" s="869"/>
      <c r="I48" s="870">
        <f>IF(I10&gt;0,I22/(I10+I19),)</f>
        <v>0</v>
      </c>
      <c r="J48" s="871">
        <f>IF(J10&gt;0,J22/(J10+J19),)</f>
        <v>0</v>
      </c>
      <c r="K48" s="868">
        <f>IF(K10&gt;0,K22/(K10+K19),)</f>
        <v>0</v>
      </c>
      <c r="L48" s="869">
        <f>IF(L10&gt;0,L22/(L10+L19),)</f>
        <v>0</v>
      </c>
      <c r="N48" s="690"/>
      <c r="O48" s="691"/>
      <c r="P48" s="691"/>
      <c r="Q48" s="691"/>
      <c r="R48" s="700"/>
      <c r="T48" s="872" t="s">
        <v>46</v>
      </c>
      <c r="U48" s="873"/>
      <c r="V48" s="873"/>
      <c r="W48" s="874"/>
      <c r="X48" s="564">
        <f>IF(X10&gt;0,X22/(X10+X19),)</f>
        <v>0</v>
      </c>
      <c r="Y48" s="871">
        <f>IF(Y10&gt;0,Y22/(Y10+Y19),)</f>
        <v>0</v>
      </c>
      <c r="Z48" s="868">
        <f>IF(Z10&gt;0,Z22/(Z10+Z19),)</f>
        <v>0</v>
      </c>
      <c r="AA48" s="869">
        <f>IF(AA10&gt;0,AA22/(AA10+AA19),)</f>
        <v>0</v>
      </c>
    </row>
    <row r="49" spans="2:27" x14ac:dyDescent="0.25">
      <c r="B49" s="1200" t="s">
        <v>47</v>
      </c>
      <c r="C49" s="1201"/>
      <c r="D49" s="1201"/>
      <c r="E49" s="1202"/>
      <c r="F49" s="358"/>
      <c r="G49" s="868">
        <f>IF(G11&gt;0,G23/G11,)</f>
        <v>0</v>
      </c>
      <c r="H49" s="869"/>
      <c r="I49" s="870">
        <f>IF(I11&gt;0,I23/I11,)</f>
        <v>0</v>
      </c>
      <c r="J49" s="871">
        <f t="shared" ref="J49:L50" si="53">IF(J11&gt;0,J23/J11,)</f>
        <v>0</v>
      </c>
      <c r="K49" s="868">
        <f t="shared" si="53"/>
        <v>0</v>
      </c>
      <c r="L49" s="869">
        <f t="shared" si="53"/>
        <v>0</v>
      </c>
      <c r="N49" s="690"/>
      <c r="O49" s="691"/>
      <c r="P49" s="691"/>
      <c r="Q49" s="691"/>
      <c r="R49" s="700"/>
      <c r="T49" s="872" t="s">
        <v>47</v>
      </c>
      <c r="U49" s="873"/>
      <c r="V49" s="873"/>
      <c r="W49" s="874"/>
      <c r="X49" s="564">
        <f t="shared" ref="X49:AA50" si="54">IF(X11&gt;0,X23/X11,)</f>
        <v>0</v>
      </c>
      <c r="Y49" s="871">
        <f t="shared" si="54"/>
        <v>0</v>
      </c>
      <c r="Z49" s="868">
        <f t="shared" si="54"/>
        <v>0</v>
      </c>
      <c r="AA49" s="869">
        <f t="shared" si="54"/>
        <v>0</v>
      </c>
    </row>
    <row r="50" spans="2:27" x14ac:dyDescent="0.25">
      <c r="B50" s="1200" t="s">
        <v>48</v>
      </c>
      <c r="C50" s="1201"/>
      <c r="D50" s="1201"/>
      <c r="E50" s="1202"/>
      <c r="F50" s="358"/>
      <c r="G50" s="868">
        <f>IF(G12&gt;0,G24/G12,)</f>
        <v>0</v>
      </c>
      <c r="H50" s="869"/>
      <c r="I50" s="870">
        <f>IF(I12&gt;0,I24/I12,)</f>
        <v>0</v>
      </c>
      <c r="J50" s="871">
        <f t="shared" si="53"/>
        <v>0</v>
      </c>
      <c r="K50" s="868">
        <f t="shared" si="53"/>
        <v>0</v>
      </c>
      <c r="L50" s="869">
        <f t="shared" si="53"/>
        <v>0</v>
      </c>
      <c r="N50" s="690"/>
      <c r="O50" s="691"/>
      <c r="P50" s="691"/>
      <c r="Q50" s="691"/>
      <c r="R50" s="700"/>
      <c r="T50" s="872" t="s">
        <v>48</v>
      </c>
      <c r="U50" s="873"/>
      <c r="V50" s="873"/>
      <c r="W50" s="874"/>
      <c r="X50" s="564">
        <f t="shared" si="54"/>
        <v>0</v>
      </c>
      <c r="Y50" s="871">
        <f t="shared" si="54"/>
        <v>0</v>
      </c>
      <c r="Z50" s="868">
        <f t="shared" si="54"/>
        <v>0</v>
      </c>
      <c r="AA50" s="869">
        <f t="shared" si="54"/>
        <v>0</v>
      </c>
    </row>
    <row r="51" spans="2:27" ht="15.75" thickBot="1" x14ac:dyDescent="0.3">
      <c r="B51" s="1217" t="s">
        <v>66</v>
      </c>
      <c r="C51" s="1218"/>
      <c r="D51" s="1218"/>
      <c r="E51" s="1219"/>
      <c r="F51" s="428"/>
      <c r="G51" s="429">
        <f>IF(G27&gt;0,G41/G27,)</f>
        <v>0</v>
      </c>
      <c r="H51" s="430"/>
      <c r="I51" s="431">
        <f>IF(I27&gt;0,I41/I27,)</f>
        <v>0</v>
      </c>
      <c r="J51" s="432">
        <f>IF(J27&gt;0,J41/J27,)</f>
        <v>0</v>
      </c>
      <c r="K51" s="429">
        <f>IF(K27&gt;0,K41/K27,)</f>
        <v>0</v>
      </c>
      <c r="L51" s="430">
        <f>IF(L27&gt;0,L41/L27,)</f>
        <v>0</v>
      </c>
      <c r="N51" s="707"/>
      <c r="O51" s="708"/>
      <c r="P51" s="708"/>
      <c r="Q51" s="708"/>
      <c r="R51" s="709"/>
      <c r="T51" s="875" t="s">
        <v>66</v>
      </c>
      <c r="U51" s="876"/>
      <c r="V51" s="876"/>
      <c r="W51" s="877"/>
      <c r="X51" s="431">
        <f>IF(X27&gt;0,X41/X27,)</f>
        <v>0</v>
      </c>
      <c r="Y51" s="432">
        <f>IF(Y27&gt;0,Y41/Y27,)</f>
        <v>0</v>
      </c>
      <c r="Z51" s="429">
        <f>IF(Z27&gt;0,Z41/Z27,)</f>
        <v>0</v>
      </c>
      <c r="AA51" s="430">
        <f>IF(AA27&gt;0,AA41/AA27,)</f>
        <v>0</v>
      </c>
    </row>
  </sheetData>
  <sheetProtection sheet="1" objects="1" scenarios="1" formatCells="0"/>
  <mergeCells count="99">
    <mergeCell ref="AR5:AT5"/>
    <mergeCell ref="B5:E5"/>
    <mergeCell ref="F5:H5"/>
    <mergeCell ref="T5:W5"/>
    <mergeCell ref="B2:L2"/>
    <mergeCell ref="T4:AA4"/>
    <mergeCell ref="AM4:AT4"/>
    <mergeCell ref="AD4:AJ4"/>
    <mergeCell ref="N2:R2"/>
    <mergeCell ref="B7:E7"/>
    <mergeCell ref="F7:H7"/>
    <mergeCell ref="T7:W7"/>
    <mergeCell ref="B4:E4"/>
    <mergeCell ref="F4:H4"/>
    <mergeCell ref="I4:L4"/>
    <mergeCell ref="B6:E6"/>
    <mergeCell ref="F6:H6"/>
    <mergeCell ref="T6:W6"/>
    <mergeCell ref="B11:E11"/>
    <mergeCell ref="T11:W11"/>
    <mergeCell ref="B12:E12"/>
    <mergeCell ref="T12:W12"/>
    <mergeCell ref="B13:E13"/>
    <mergeCell ref="T13:W13"/>
    <mergeCell ref="B8:E8"/>
    <mergeCell ref="T8:W8"/>
    <mergeCell ref="B9:E9"/>
    <mergeCell ref="T9:W9"/>
    <mergeCell ref="B10:E10"/>
    <mergeCell ref="T10:W10"/>
    <mergeCell ref="B17:E17"/>
    <mergeCell ref="T17:W17"/>
    <mergeCell ref="B18:E18"/>
    <mergeCell ref="T18:W18"/>
    <mergeCell ref="B19:E19"/>
    <mergeCell ref="T19:W19"/>
    <mergeCell ref="B14:E14"/>
    <mergeCell ref="T14:W14"/>
    <mergeCell ref="B15:E15"/>
    <mergeCell ref="T15:W15"/>
    <mergeCell ref="B16:E16"/>
    <mergeCell ref="T16:W16"/>
    <mergeCell ref="B23:E23"/>
    <mergeCell ref="T23:W23"/>
    <mergeCell ref="B24:E24"/>
    <mergeCell ref="T24:W24"/>
    <mergeCell ref="B25:E25"/>
    <mergeCell ref="T25:W25"/>
    <mergeCell ref="B20:E20"/>
    <mergeCell ref="T20:W20"/>
    <mergeCell ref="B21:E21"/>
    <mergeCell ref="T21:W21"/>
    <mergeCell ref="B22:E22"/>
    <mergeCell ref="T22:W22"/>
    <mergeCell ref="B30:E30"/>
    <mergeCell ref="T30:W30"/>
    <mergeCell ref="B31:E31"/>
    <mergeCell ref="T31:W31"/>
    <mergeCell ref="B26:E26"/>
    <mergeCell ref="T26:W26"/>
    <mergeCell ref="B27:E27"/>
    <mergeCell ref="T27:W27"/>
    <mergeCell ref="B28:E28"/>
    <mergeCell ref="T28:W28"/>
    <mergeCell ref="B29:E29"/>
    <mergeCell ref="T29:W29"/>
    <mergeCell ref="B51:E51"/>
    <mergeCell ref="B32:E32"/>
    <mergeCell ref="B44:E44"/>
    <mergeCell ref="B33:E33"/>
    <mergeCell ref="B34:E34"/>
    <mergeCell ref="B35:E35"/>
    <mergeCell ref="B36:E36"/>
    <mergeCell ref="B39:E39"/>
    <mergeCell ref="B38:E38"/>
    <mergeCell ref="B49:E49"/>
    <mergeCell ref="B50:E50"/>
    <mergeCell ref="B40:E40"/>
    <mergeCell ref="B37:E37"/>
    <mergeCell ref="AD46:AI46"/>
    <mergeCell ref="T44:W44"/>
    <mergeCell ref="B46:E46"/>
    <mergeCell ref="B48:E48"/>
    <mergeCell ref="B41:E41"/>
    <mergeCell ref="T41:W41"/>
    <mergeCell ref="B42:E42"/>
    <mergeCell ref="T42:W42"/>
    <mergeCell ref="B43:E43"/>
    <mergeCell ref="T43:W43"/>
    <mergeCell ref="B47:E47"/>
    <mergeCell ref="T32:W32"/>
    <mergeCell ref="T33:W33"/>
    <mergeCell ref="T34:W34"/>
    <mergeCell ref="T40:W40"/>
    <mergeCell ref="T35:W35"/>
    <mergeCell ref="T37:W37"/>
    <mergeCell ref="T38:W38"/>
    <mergeCell ref="T39:W39"/>
    <mergeCell ref="T36:W36"/>
  </mergeCells>
  <dataValidations count="1">
    <dataValidation type="list" allowBlank="1" showInputMessage="1" showErrorMessage="1" sqref="I8:L8" xr:uid="{F9D27A0E-4705-43B9-8FE7-F740CDA78416}">
      <formula1>"Per Unit,Total"</formula1>
    </dataValidation>
  </dataValidations>
  <hyperlinks>
    <hyperlink ref="AD37" r:id="rId1" xr:uid="{45C38DEA-43E8-4311-AD9B-67BAE3E6C98A}"/>
  </hyperlinks>
  <pageMargins left="0.7" right="0.7" top="0.75" bottom="0.75" header="0.3" footer="0.3"/>
  <pageSetup scale="80" orientation="portrait" r:id="rId2"/>
  <headerFooter>
    <oddFooter>&amp;L&amp;F</oddFooter>
  </headerFooter>
  <drawing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CAE7E-03F9-499B-85E9-76525BD33815}">
  <sheetPr codeName="Sheet10">
    <pageSetUpPr fitToPage="1"/>
  </sheetPr>
  <dimension ref="B1:U76"/>
  <sheetViews>
    <sheetView showGridLines="0" zoomScaleNormal="100" workbookViewId="0">
      <selection activeCell="H71" sqref="H71"/>
    </sheetView>
  </sheetViews>
  <sheetFormatPr defaultRowHeight="15" outlineLevelRow="1" outlineLevelCol="1" x14ac:dyDescent="0.25"/>
  <cols>
    <col min="1" max="1" width="5.140625" customWidth="1"/>
    <col min="7" max="7" width="2.42578125" customWidth="1"/>
    <col min="8" max="8" width="11" bestFit="1" customWidth="1"/>
    <col min="14" max="14" width="4.28515625" customWidth="1"/>
    <col min="15" max="15" width="9.85546875" customWidth="1" outlineLevel="1"/>
    <col min="16" max="16" width="14.7109375" customWidth="1" outlineLevel="1"/>
    <col min="17" max="19" width="9.85546875" customWidth="1" outlineLevel="1"/>
  </cols>
  <sheetData>
    <row r="1" spans="2:21" ht="15.75" thickBot="1" x14ac:dyDescent="0.3"/>
    <row r="2" spans="2:21" ht="15.75" thickBot="1" x14ac:dyDescent="0.3">
      <c r="B2" s="1379" t="str">
        <f>UPPER(Summary!E7)&amp; " DEVELOPMENT COSTS"</f>
        <v xml:space="preserve"> DEVELOPMENT COSTS</v>
      </c>
      <c r="C2" s="1380"/>
      <c r="D2" s="1380"/>
      <c r="E2" s="1380"/>
      <c r="F2" s="1380"/>
      <c r="G2" s="1380"/>
      <c r="H2" s="1380"/>
      <c r="I2" s="1380"/>
      <c r="J2" s="1380"/>
      <c r="K2" s="1380"/>
      <c r="L2" s="1380"/>
      <c r="M2" s="1381"/>
      <c r="O2" s="1233" t="s">
        <v>99</v>
      </c>
      <c r="P2" s="1234"/>
      <c r="Q2" s="1234"/>
      <c r="R2" s="1234"/>
      <c r="S2" s="1235"/>
      <c r="U2" t="s">
        <v>583</v>
      </c>
    </row>
    <row r="3" spans="2:21" ht="15.75" thickBot="1" x14ac:dyDescent="0.3">
      <c r="B3" s="914"/>
      <c r="C3" s="915"/>
      <c r="D3" s="916"/>
      <c r="E3" s="916"/>
      <c r="F3" s="916"/>
      <c r="G3" s="917"/>
      <c r="H3" s="918" t="s">
        <v>541</v>
      </c>
      <c r="I3" s="918" t="s">
        <v>85</v>
      </c>
      <c r="J3" s="1459" t="s">
        <v>542</v>
      </c>
      <c r="K3" s="1460"/>
      <c r="L3" s="1460"/>
      <c r="M3" s="1461"/>
    </row>
    <row r="4" spans="2:21" x14ac:dyDescent="0.25">
      <c r="B4" s="919" t="s">
        <v>515</v>
      </c>
      <c r="C4" s="920"/>
      <c r="D4" s="920"/>
      <c r="E4" s="920"/>
      <c r="F4" s="920"/>
      <c r="G4" s="920"/>
      <c r="H4" s="920"/>
      <c r="I4" s="920"/>
      <c r="J4" s="920"/>
      <c r="K4" s="920"/>
      <c r="L4" s="920"/>
      <c r="M4" s="921"/>
      <c r="O4" s="482"/>
      <c r="P4" s="483"/>
      <c r="Q4" s="483"/>
      <c r="R4" s="483"/>
      <c r="S4" s="484"/>
    </row>
    <row r="5" spans="2:21" x14ac:dyDescent="0.25">
      <c r="B5" s="922" t="s">
        <v>548</v>
      </c>
      <c r="C5" s="923"/>
      <c r="D5" s="923"/>
      <c r="E5" s="923"/>
      <c r="F5" s="923"/>
      <c r="G5" s="923"/>
      <c r="H5" s="59"/>
      <c r="I5" s="924">
        <f>IFERROR(H5/'Housing Income'!$D$34,0)</f>
        <v>0</v>
      </c>
      <c r="J5" s="1450"/>
      <c r="K5" s="1451"/>
      <c r="L5" s="1451"/>
      <c r="M5" s="1452"/>
      <c r="O5" s="488"/>
      <c r="P5" s="486"/>
      <c r="Q5" s="486"/>
      <c r="R5" s="486"/>
      <c r="S5" s="487"/>
    </row>
    <row r="6" spans="2:21" x14ac:dyDescent="0.25">
      <c r="B6" s="925" t="s">
        <v>516</v>
      </c>
      <c r="C6" s="923"/>
      <c r="D6" s="1444" t="s">
        <v>700</v>
      </c>
      <c r="E6" s="1445"/>
      <c r="F6" s="1455"/>
      <c r="G6" s="923"/>
      <c r="H6" s="59"/>
      <c r="I6" s="924">
        <f>IFERROR(H6/'Housing Income'!$D$34,0)</f>
        <v>0</v>
      </c>
      <c r="J6" s="1444"/>
      <c r="K6" s="1445"/>
      <c r="L6" s="1445"/>
      <c r="M6" s="1446"/>
      <c r="O6" s="488"/>
      <c r="P6" s="486"/>
      <c r="Q6" s="486"/>
      <c r="R6" s="486"/>
      <c r="S6" s="487"/>
    </row>
    <row r="7" spans="2:21" x14ac:dyDescent="0.25">
      <c r="B7" s="925" t="s">
        <v>13</v>
      </c>
      <c r="C7" s="923"/>
      <c r="D7" s="1441"/>
      <c r="E7" s="1442"/>
      <c r="F7" s="1453"/>
      <c r="G7" s="923"/>
      <c r="H7" s="656"/>
      <c r="I7" s="924">
        <f>IFERROR(H7/'Housing Income'!$D$34,0)</f>
        <v>0</v>
      </c>
      <c r="J7" s="1441"/>
      <c r="K7" s="1442"/>
      <c r="L7" s="1442"/>
      <c r="M7" s="1443"/>
      <c r="O7" s="488"/>
      <c r="P7" s="486"/>
      <c r="Q7" s="486"/>
      <c r="R7" s="486"/>
      <c r="S7" s="487"/>
    </row>
    <row r="8" spans="2:21" x14ac:dyDescent="0.25">
      <c r="B8" s="926" t="s">
        <v>517</v>
      </c>
      <c r="C8" s="923"/>
      <c r="D8" s="923"/>
      <c r="E8" s="923"/>
      <c r="F8" s="923"/>
      <c r="G8" s="923"/>
      <c r="H8" s="927">
        <f>SUM(H5:H7)</f>
        <v>0</v>
      </c>
      <c r="I8" s="927">
        <f>SUM(I5:I7)</f>
        <v>0</v>
      </c>
      <c r="J8" s="1444"/>
      <c r="K8" s="1445"/>
      <c r="L8" s="1445"/>
      <c r="M8" s="1446"/>
      <c r="O8" s="488"/>
      <c r="P8" s="486"/>
      <c r="Q8" s="486"/>
      <c r="R8" s="486"/>
      <c r="S8" s="487"/>
    </row>
    <row r="9" spans="2:21" x14ac:dyDescent="0.25">
      <c r="B9" s="919" t="s">
        <v>574</v>
      </c>
      <c r="C9" s="920"/>
      <c r="D9" s="920"/>
      <c r="E9" s="920"/>
      <c r="F9" s="920"/>
      <c r="G9" s="920"/>
      <c r="H9" s="920"/>
      <c r="I9" s="920"/>
      <c r="J9" s="920"/>
      <c r="K9" s="920"/>
      <c r="L9" s="920"/>
      <c r="M9" s="921"/>
      <c r="O9" s="488"/>
      <c r="P9" s="486"/>
      <c r="Q9" s="486"/>
      <c r="R9" s="486"/>
      <c r="S9" s="487"/>
    </row>
    <row r="10" spans="2:21" x14ac:dyDescent="0.25">
      <c r="B10" s="928" t="s">
        <v>518</v>
      </c>
      <c r="C10" s="923"/>
      <c r="D10" s="1456"/>
      <c r="E10" s="1457"/>
      <c r="F10" s="1458"/>
      <c r="G10" s="923"/>
      <c r="H10" s="689"/>
      <c r="I10" s="924">
        <f>IFERROR(H10/'Housing Income'!$D$34,0)</f>
        <v>0</v>
      </c>
      <c r="J10" s="1444"/>
      <c r="K10" s="1445"/>
      <c r="L10" s="1445"/>
      <c r="M10" s="1446"/>
      <c r="O10" s="651"/>
      <c r="P10" s="486"/>
      <c r="Q10" s="486"/>
      <c r="R10" s="486"/>
      <c r="S10" s="487"/>
    </row>
    <row r="11" spans="2:21" x14ac:dyDescent="0.25">
      <c r="B11" s="928" t="s">
        <v>13</v>
      </c>
      <c r="C11" s="923"/>
      <c r="D11" s="1441"/>
      <c r="E11" s="1442"/>
      <c r="F11" s="1453"/>
      <c r="G11" s="923"/>
      <c r="H11" s="656"/>
      <c r="I11" s="924">
        <f>IFERROR(H11/'Housing Income'!$D$34,0)</f>
        <v>0</v>
      </c>
      <c r="J11" s="1444"/>
      <c r="K11" s="1445"/>
      <c r="L11" s="1445"/>
      <c r="M11" s="1446"/>
      <c r="O11" s="488"/>
      <c r="P11" s="486"/>
      <c r="Q11" s="486"/>
      <c r="R11" s="486"/>
      <c r="S11" s="487"/>
    </row>
    <row r="12" spans="2:21" x14ac:dyDescent="0.25">
      <c r="B12" s="928" t="s">
        <v>13</v>
      </c>
      <c r="C12" s="923"/>
      <c r="D12" s="1444"/>
      <c r="E12" s="1445"/>
      <c r="F12" s="1455"/>
      <c r="G12" s="923"/>
      <c r="H12" s="656"/>
      <c r="I12" s="924">
        <f>IFERROR(H12/'Housing Income'!$D$34,0)</f>
        <v>0</v>
      </c>
      <c r="J12" s="1450"/>
      <c r="K12" s="1451"/>
      <c r="L12" s="1451"/>
      <c r="M12" s="1452"/>
      <c r="O12" s="651"/>
      <c r="P12" s="486"/>
      <c r="Q12" s="486"/>
      <c r="R12" s="486"/>
      <c r="S12" s="487"/>
    </row>
    <row r="13" spans="2:21" x14ac:dyDescent="0.25">
      <c r="B13" s="929" t="s">
        <v>543</v>
      </c>
      <c r="C13" s="923"/>
      <c r="D13" s="923"/>
      <c r="E13" s="923"/>
      <c r="F13" s="923"/>
      <c r="G13" s="923"/>
      <c r="H13" s="930">
        <f>SUM(H10:H12)</f>
        <v>0</v>
      </c>
      <c r="I13" s="930">
        <f>SUM(I10:I12)</f>
        <v>0</v>
      </c>
      <c r="J13" s="1444"/>
      <c r="K13" s="1445"/>
      <c r="L13" s="1445"/>
      <c r="M13" s="1446"/>
      <c r="O13" s="488"/>
      <c r="P13" s="486"/>
      <c r="Q13" s="486"/>
      <c r="R13" s="486"/>
      <c r="S13" s="487"/>
    </row>
    <row r="14" spans="2:21" x14ac:dyDescent="0.25">
      <c r="B14" s="925" t="s">
        <v>179</v>
      </c>
      <c r="C14" s="923"/>
      <c r="D14" s="931"/>
      <c r="E14" s="932"/>
      <c r="F14" s="933">
        <f>IFERROR(H14/$H$13,0)</f>
        <v>0</v>
      </c>
      <c r="G14" s="923"/>
      <c r="H14" s="656"/>
      <c r="I14" s="924">
        <f>IFERROR(H14/'Housing Income'!$D$34,0)</f>
        <v>0</v>
      </c>
      <c r="J14" s="1444"/>
      <c r="K14" s="1445"/>
      <c r="L14" s="1445"/>
      <c r="M14" s="1446"/>
      <c r="O14" s="488"/>
      <c r="P14" s="486"/>
      <c r="Q14" s="486"/>
      <c r="R14" s="486"/>
      <c r="S14" s="487"/>
    </row>
    <row r="15" spans="2:21" x14ac:dyDescent="0.25">
      <c r="B15" s="922" t="s">
        <v>519</v>
      </c>
      <c r="C15" s="923"/>
      <c r="D15" s="931"/>
      <c r="E15" s="931"/>
      <c r="F15" s="934"/>
      <c r="G15" s="923"/>
      <c r="H15" s="935">
        <f>SUM(H13:H14)</f>
        <v>0</v>
      </c>
      <c r="I15" s="935">
        <f>SUM(I13:I14:I14)</f>
        <v>0</v>
      </c>
      <c r="J15" s="1444"/>
      <c r="K15" s="1445"/>
      <c r="L15" s="1445"/>
      <c r="M15" s="1446"/>
      <c r="O15" s="488"/>
      <c r="P15" s="486"/>
      <c r="Q15" s="486"/>
      <c r="R15" s="486"/>
      <c r="S15" s="487"/>
    </row>
    <row r="16" spans="2:21" x14ac:dyDescent="0.25">
      <c r="B16" s="925" t="s">
        <v>520</v>
      </c>
      <c r="C16" s="923"/>
      <c r="D16" s="923"/>
      <c r="E16" s="936"/>
      <c r="F16" s="933">
        <f>IFERROR(H16/H15,0)</f>
        <v>0</v>
      </c>
      <c r="G16" s="923"/>
      <c r="H16" s="59"/>
      <c r="I16" s="924">
        <f>IFERROR(H16/'Housing Income'!$D$34,0)</f>
        <v>0</v>
      </c>
      <c r="J16" s="1441"/>
      <c r="K16" s="1442"/>
      <c r="L16" s="1442"/>
      <c r="M16" s="1443"/>
      <c r="O16" s="488"/>
      <c r="P16" s="486"/>
      <c r="Q16" s="486"/>
      <c r="R16" s="486"/>
      <c r="S16" s="487"/>
    </row>
    <row r="17" spans="2:19" x14ac:dyDescent="0.25">
      <c r="B17" s="926" t="s">
        <v>521</v>
      </c>
      <c r="C17" s="923"/>
      <c r="D17" s="923"/>
      <c r="E17" s="923"/>
      <c r="F17" s="937"/>
      <c r="G17" s="923"/>
      <c r="H17" s="927">
        <f>H15+H16</f>
        <v>0</v>
      </c>
      <c r="I17" s="927">
        <f t="shared" ref="I17" si="0">I15+I16</f>
        <v>0</v>
      </c>
      <c r="J17" s="1441"/>
      <c r="K17" s="1442"/>
      <c r="L17" s="1442"/>
      <c r="M17" s="1443"/>
      <c r="O17" s="488"/>
      <c r="P17" s="486"/>
      <c r="Q17" s="486"/>
      <c r="R17" s="486"/>
      <c r="S17" s="487"/>
    </row>
    <row r="18" spans="2:19" x14ac:dyDescent="0.25">
      <c r="B18" s="919" t="s">
        <v>522</v>
      </c>
      <c r="C18" s="920"/>
      <c r="D18" s="920"/>
      <c r="E18" s="920"/>
      <c r="F18" s="920"/>
      <c r="G18" s="920"/>
      <c r="H18" s="920"/>
      <c r="I18" s="920"/>
      <c r="J18" s="920"/>
      <c r="K18" s="920"/>
      <c r="L18" s="920"/>
      <c r="M18" s="921"/>
      <c r="O18" s="690"/>
      <c r="P18" s="691"/>
      <c r="Q18" s="486"/>
      <c r="R18" s="486"/>
      <c r="S18" s="487"/>
    </row>
    <row r="19" spans="2:19" x14ac:dyDescent="0.25">
      <c r="B19" s="926" t="s">
        <v>523</v>
      </c>
      <c r="C19" s="923"/>
      <c r="D19" s="923"/>
      <c r="E19" s="923"/>
      <c r="F19" s="923"/>
      <c r="G19" s="923"/>
      <c r="H19" s="59"/>
      <c r="I19" s="927">
        <f>IFERROR(H19/'Housing Income'!$D$34,0)</f>
        <v>0</v>
      </c>
      <c r="J19" s="1444"/>
      <c r="K19" s="1445"/>
      <c r="L19" s="1445"/>
      <c r="M19" s="1446"/>
      <c r="O19" s="690"/>
      <c r="P19" s="691"/>
      <c r="Q19" s="486"/>
      <c r="R19" s="486"/>
      <c r="S19" s="487"/>
    </row>
    <row r="20" spans="2:19" x14ac:dyDescent="0.25">
      <c r="B20" s="919" t="s">
        <v>564</v>
      </c>
      <c r="C20" s="920"/>
      <c r="D20" s="920"/>
      <c r="E20" s="920"/>
      <c r="F20" s="920"/>
      <c r="G20" s="920"/>
      <c r="H20" s="920"/>
      <c r="I20" s="920"/>
      <c r="J20" s="920"/>
      <c r="K20" s="920"/>
      <c r="L20" s="920"/>
      <c r="M20" s="921"/>
      <c r="O20" s="690"/>
      <c r="P20" s="691"/>
      <c r="Q20" s="486"/>
      <c r="R20" s="486"/>
      <c r="S20" s="487"/>
    </row>
    <row r="21" spans="2:19" x14ac:dyDescent="0.25">
      <c r="B21" s="925" t="s">
        <v>579</v>
      </c>
      <c r="C21" s="923"/>
      <c r="D21" s="931"/>
      <c r="E21" s="931"/>
      <c r="F21" s="931"/>
      <c r="G21" s="923"/>
      <c r="H21" s="59"/>
      <c r="I21" s="924">
        <f>IFERROR(H21/'Housing Income'!$D$34,0)</f>
        <v>0</v>
      </c>
      <c r="J21" s="1444" t="s">
        <v>576</v>
      </c>
      <c r="K21" s="1445"/>
      <c r="L21" s="1445"/>
      <c r="M21" s="1446"/>
      <c r="O21" s="690"/>
      <c r="P21" s="691"/>
      <c r="Q21" s="486"/>
      <c r="R21" s="486"/>
      <c r="S21" s="487"/>
    </row>
    <row r="22" spans="2:19" x14ac:dyDescent="0.25">
      <c r="B22" s="925" t="s">
        <v>577</v>
      </c>
      <c r="C22" s="923"/>
      <c r="D22" s="931"/>
      <c r="E22" s="931"/>
      <c r="F22" s="931"/>
      <c r="G22" s="923"/>
      <c r="H22" s="59"/>
      <c r="I22" s="924">
        <f>IFERROR(H22/'Housing Income'!$D$34,0)</f>
        <v>0</v>
      </c>
      <c r="J22" s="314" t="s">
        <v>578</v>
      </c>
      <c r="K22" s="315"/>
      <c r="L22" s="315"/>
      <c r="M22" s="316"/>
      <c r="O22" s="690"/>
      <c r="P22" s="691"/>
      <c r="Q22" s="486"/>
      <c r="R22" s="486"/>
      <c r="S22" s="487"/>
    </row>
    <row r="23" spans="2:19" x14ac:dyDescent="0.25">
      <c r="B23" s="925" t="s">
        <v>575</v>
      </c>
      <c r="C23" s="923"/>
      <c r="D23" s="931"/>
      <c r="E23" s="931"/>
      <c r="F23" s="931"/>
      <c r="G23" s="923"/>
      <c r="H23" s="59"/>
      <c r="I23" s="924">
        <f>IFERROR(H23/'Housing Income'!$D$34,0)</f>
        <v>0</v>
      </c>
      <c r="J23" s="1444" t="s">
        <v>801</v>
      </c>
      <c r="K23" s="1445"/>
      <c r="L23" s="1445"/>
      <c r="M23" s="1446"/>
      <c r="O23" s="690"/>
      <c r="P23" s="691"/>
      <c r="Q23" s="486"/>
      <c r="R23" s="486"/>
      <c r="S23" s="487"/>
    </row>
    <row r="24" spans="2:19" x14ac:dyDescent="0.25">
      <c r="B24" s="925" t="s">
        <v>527</v>
      </c>
      <c r="C24" s="923"/>
      <c r="D24" s="931"/>
      <c r="E24" s="931"/>
      <c r="F24" s="931"/>
      <c r="G24" s="923"/>
      <c r="H24" s="656"/>
      <c r="I24" s="924">
        <f>IFERROR(H24/'Housing Income'!$D$34,0)</f>
        <v>0</v>
      </c>
      <c r="J24" s="1441" t="s">
        <v>800</v>
      </c>
      <c r="K24" s="1442"/>
      <c r="L24" s="1442"/>
      <c r="M24" s="1443"/>
      <c r="O24" s="690"/>
      <c r="P24" s="691"/>
      <c r="Q24" s="486"/>
      <c r="R24" s="486"/>
      <c r="S24" s="487"/>
    </row>
    <row r="25" spans="2:19" x14ac:dyDescent="0.25">
      <c r="B25" s="925" t="s">
        <v>547</v>
      </c>
      <c r="C25" s="923"/>
      <c r="D25" s="931"/>
      <c r="E25" s="931"/>
      <c r="F25" s="931"/>
      <c r="G25" s="923"/>
      <c r="H25" s="656"/>
      <c r="I25" s="924">
        <f>IFERROR(H25/'Housing Income'!$D$34,0)</f>
        <v>0</v>
      </c>
      <c r="J25" s="1444"/>
      <c r="K25" s="1445"/>
      <c r="L25" s="1445"/>
      <c r="M25" s="1446"/>
      <c r="O25" s="690"/>
      <c r="P25" s="691"/>
      <c r="Q25" s="486"/>
      <c r="R25" s="486"/>
      <c r="S25" s="487"/>
    </row>
    <row r="26" spans="2:19" hidden="1" outlineLevel="1" x14ac:dyDescent="0.25">
      <c r="B26" s="925" t="s">
        <v>544</v>
      </c>
      <c r="C26" s="923"/>
      <c r="D26" s="931"/>
      <c r="E26" s="931"/>
      <c r="F26" s="931"/>
      <c r="G26" s="923"/>
      <c r="H26" s="59"/>
      <c r="I26" s="924">
        <f>IFERROR(H26/'Housing Income'!$D$34,0)</f>
        <v>0</v>
      </c>
      <c r="J26" s="1444"/>
      <c r="K26" s="1445"/>
      <c r="L26" s="1445"/>
      <c r="M26" s="1446"/>
      <c r="O26" s="690"/>
      <c r="P26" s="691"/>
      <c r="Q26" s="486"/>
      <c r="R26" s="486"/>
      <c r="S26" s="487"/>
    </row>
    <row r="27" spans="2:19" hidden="1" outlineLevel="1" x14ac:dyDescent="0.25">
      <c r="B27" s="925" t="s">
        <v>525</v>
      </c>
      <c r="C27" s="923"/>
      <c r="D27" s="931"/>
      <c r="E27" s="931"/>
      <c r="F27" s="931"/>
      <c r="G27" s="923"/>
      <c r="H27" s="656"/>
      <c r="I27" s="924">
        <f>IFERROR(H27/'Housing Income'!$D$34,0)</f>
        <v>0</v>
      </c>
      <c r="J27" s="1441" t="s">
        <v>802</v>
      </c>
      <c r="K27" s="1442"/>
      <c r="L27" s="1442"/>
      <c r="M27" s="1443"/>
      <c r="O27" s="690"/>
      <c r="P27" s="691"/>
      <c r="Q27" s="486"/>
      <c r="R27" s="486"/>
      <c r="S27" s="487"/>
    </row>
    <row r="28" spans="2:19" hidden="1" outlineLevel="1" x14ac:dyDescent="0.25">
      <c r="B28" s="925" t="s">
        <v>524</v>
      </c>
      <c r="C28" s="923"/>
      <c r="D28" s="931"/>
      <c r="E28" s="931"/>
      <c r="F28" s="931"/>
      <c r="G28" s="923"/>
      <c r="H28" s="59"/>
      <c r="I28" s="924">
        <f>IFERROR(H28/'Housing Income'!$D$34,0)</f>
        <v>0</v>
      </c>
      <c r="J28" s="1444"/>
      <c r="K28" s="1445"/>
      <c r="L28" s="1445"/>
      <c r="M28" s="1446"/>
      <c r="O28" s="690"/>
      <c r="P28" s="691"/>
      <c r="Q28" s="486"/>
      <c r="R28" s="486"/>
      <c r="S28" s="487"/>
    </row>
    <row r="29" spans="2:19" hidden="1" outlineLevel="1" x14ac:dyDescent="0.25">
      <c r="B29" s="925" t="s">
        <v>526</v>
      </c>
      <c r="C29" s="923"/>
      <c r="D29" s="931"/>
      <c r="E29" s="931"/>
      <c r="F29" s="931"/>
      <c r="G29" s="923"/>
      <c r="H29" s="652"/>
      <c r="I29" s="924">
        <f>IFERROR(H29/'Housing Income'!$D$34,0)</f>
        <v>0</v>
      </c>
      <c r="J29" s="1444"/>
      <c r="K29" s="1445"/>
      <c r="L29" s="1445"/>
      <c r="M29" s="1446"/>
      <c r="O29" s="690"/>
      <c r="P29" s="691"/>
      <c r="Q29" s="486"/>
      <c r="R29" s="486"/>
      <c r="S29" s="487"/>
    </row>
    <row r="30" spans="2:19" hidden="1" outlineLevel="1" x14ac:dyDescent="0.25">
      <c r="B30" s="925" t="s">
        <v>545</v>
      </c>
      <c r="C30" s="923"/>
      <c r="D30" s="931"/>
      <c r="E30" s="931"/>
      <c r="F30" s="931"/>
      <c r="G30" s="923"/>
      <c r="H30" s="59"/>
      <c r="I30" s="924">
        <f>IFERROR(H30/'Housing Income'!$D$34,0)</f>
        <v>0</v>
      </c>
      <c r="J30" s="1450"/>
      <c r="K30" s="1451"/>
      <c r="L30" s="1451"/>
      <c r="M30" s="1452"/>
      <c r="O30" s="692"/>
      <c r="P30" s="691"/>
      <c r="Q30" s="486"/>
      <c r="R30" s="486"/>
      <c r="S30" s="487"/>
    </row>
    <row r="31" spans="2:19" hidden="1" outlineLevel="1" x14ac:dyDescent="0.25">
      <c r="B31" s="925" t="s">
        <v>562</v>
      </c>
      <c r="C31" s="923"/>
      <c r="D31" s="931"/>
      <c r="E31" s="931"/>
      <c r="F31" s="931"/>
      <c r="G31" s="923"/>
      <c r="H31" s="59"/>
      <c r="I31" s="924">
        <f>IFERROR(H31/'Housing Income'!$D$34,0)</f>
        <v>0</v>
      </c>
      <c r="J31" s="1444"/>
      <c r="K31" s="1445"/>
      <c r="L31" s="1445"/>
      <c r="M31" s="1446"/>
      <c r="O31" s="690"/>
      <c r="P31" s="691"/>
      <c r="Q31" s="486"/>
      <c r="R31" s="486"/>
      <c r="S31" s="487"/>
    </row>
    <row r="32" spans="2:19" hidden="1" outlineLevel="1" x14ac:dyDescent="0.25">
      <c r="B32" s="925" t="s">
        <v>546</v>
      </c>
      <c r="C32" s="923"/>
      <c r="D32" s="931"/>
      <c r="E32" s="931"/>
      <c r="F32" s="931"/>
      <c r="G32" s="923"/>
      <c r="H32" s="652"/>
      <c r="I32" s="924">
        <f>IFERROR(H32/'Housing Income'!$D$34,0)</f>
        <v>0</v>
      </c>
      <c r="J32" s="1444"/>
      <c r="K32" s="1445"/>
      <c r="L32" s="1445"/>
      <c r="M32" s="1446"/>
      <c r="O32" s="690"/>
      <c r="P32" s="691"/>
      <c r="Q32" s="486"/>
      <c r="R32" s="486"/>
      <c r="S32" s="487"/>
    </row>
    <row r="33" spans="2:19" hidden="1" outlineLevel="1" x14ac:dyDescent="0.25">
      <c r="B33" s="925" t="s">
        <v>528</v>
      </c>
      <c r="C33" s="923"/>
      <c r="D33" s="931"/>
      <c r="E33" s="931"/>
      <c r="F33" s="931"/>
      <c r="G33" s="923"/>
      <c r="H33" s="59"/>
      <c r="I33" s="924">
        <f>IFERROR(H33/'Housing Income'!$D$34,0)</f>
        <v>0</v>
      </c>
      <c r="J33" s="1444"/>
      <c r="K33" s="1445"/>
      <c r="L33" s="1445"/>
      <c r="M33" s="1446"/>
      <c r="O33" s="690"/>
      <c r="P33" s="691"/>
      <c r="Q33" s="486"/>
      <c r="R33" s="486"/>
      <c r="S33" s="487"/>
    </row>
    <row r="34" spans="2:19" collapsed="1" x14ac:dyDescent="0.25">
      <c r="B34" s="925" t="s">
        <v>529</v>
      </c>
      <c r="C34" s="923"/>
      <c r="D34" s="1441"/>
      <c r="E34" s="1442"/>
      <c r="F34" s="1453"/>
      <c r="G34" s="931"/>
      <c r="H34" s="656"/>
      <c r="I34" s="924">
        <f>IFERROR(H34/'Housing Income'!$D$34,0)</f>
        <v>0</v>
      </c>
      <c r="J34" s="1441"/>
      <c r="K34" s="1442"/>
      <c r="L34" s="1442"/>
      <c r="M34" s="1443"/>
      <c r="O34" s="650" t="s">
        <v>803</v>
      </c>
      <c r="P34" s="486"/>
      <c r="Q34" s="486"/>
      <c r="R34" s="486"/>
      <c r="S34" s="487"/>
    </row>
    <row r="35" spans="2:19" x14ac:dyDescent="0.25">
      <c r="B35" s="925" t="s">
        <v>529</v>
      </c>
      <c r="C35" s="923"/>
      <c r="D35" s="659"/>
      <c r="E35" s="660"/>
      <c r="F35" s="661"/>
      <c r="G35" s="931"/>
      <c r="H35" s="656"/>
      <c r="I35" s="924"/>
      <c r="J35" s="1441"/>
      <c r="K35" s="1442"/>
      <c r="L35" s="1442"/>
      <c r="M35" s="1443"/>
      <c r="O35" s="488"/>
      <c r="P35" s="486"/>
      <c r="Q35" s="486"/>
      <c r="R35" s="486"/>
      <c r="S35" s="487"/>
    </row>
    <row r="36" spans="2:19" x14ac:dyDescent="0.25">
      <c r="B36" s="925" t="s">
        <v>529</v>
      </c>
      <c r="C36" s="923"/>
      <c r="D36" s="1441"/>
      <c r="E36" s="1442"/>
      <c r="F36" s="1453"/>
      <c r="G36" s="931"/>
      <c r="H36" s="656"/>
      <c r="I36" s="924">
        <f>IFERROR(H36/'Housing Income'!$D$34,0)</f>
        <v>0</v>
      </c>
      <c r="J36" s="1441"/>
      <c r="K36" s="1442"/>
      <c r="L36" s="1442"/>
      <c r="M36" s="1443"/>
      <c r="O36" s="488"/>
      <c r="P36" s="486"/>
      <c r="Q36" s="486"/>
      <c r="R36" s="486"/>
      <c r="S36" s="487"/>
    </row>
    <row r="37" spans="2:19" x14ac:dyDescent="0.25">
      <c r="B37" s="926" t="s">
        <v>563</v>
      </c>
      <c r="C37" s="923"/>
      <c r="D37" s="923"/>
      <c r="E37" s="923"/>
      <c r="F37" s="923"/>
      <c r="G37" s="923"/>
      <c r="H37" s="938">
        <f>SUM(H21:H36)</f>
        <v>0</v>
      </c>
      <c r="I37" s="938">
        <f>SUM(I21:I36)</f>
        <v>0</v>
      </c>
      <c r="J37" s="1444"/>
      <c r="K37" s="1445"/>
      <c r="L37" s="1445"/>
      <c r="M37" s="1446"/>
      <c r="O37" s="488"/>
      <c r="P37" s="486"/>
      <c r="Q37" s="486"/>
      <c r="R37" s="486"/>
      <c r="S37" s="487"/>
    </row>
    <row r="38" spans="2:19" x14ac:dyDescent="0.25">
      <c r="B38" s="919" t="s">
        <v>530</v>
      </c>
      <c r="C38" s="920"/>
      <c r="D38" s="920"/>
      <c r="E38" s="920"/>
      <c r="F38" s="920"/>
      <c r="G38" s="920"/>
      <c r="H38" s="920"/>
      <c r="I38" s="920"/>
      <c r="J38" s="920"/>
      <c r="K38" s="920"/>
      <c r="L38" s="920"/>
      <c r="M38" s="921"/>
      <c r="O38" s="488"/>
      <c r="P38" s="486"/>
      <c r="Q38" s="486"/>
      <c r="R38" s="486"/>
      <c r="S38" s="487"/>
    </row>
    <row r="39" spans="2:19" x14ac:dyDescent="0.25">
      <c r="B39" s="925" t="s">
        <v>108</v>
      </c>
      <c r="C39" s="923"/>
      <c r="D39" s="923"/>
      <c r="E39" s="923"/>
      <c r="F39" s="923"/>
      <c r="G39" s="923"/>
      <c r="H39" s="59"/>
      <c r="I39" s="924">
        <f>IFERROR(H39/'Housing Income'!$D$34,0)</f>
        <v>0</v>
      </c>
      <c r="J39" s="1444"/>
      <c r="K39" s="1445"/>
      <c r="L39" s="1445"/>
      <c r="M39" s="1446"/>
      <c r="O39" s="488" t="s">
        <v>580</v>
      </c>
      <c r="P39" s="486"/>
      <c r="Q39" s="486"/>
      <c r="R39" s="486"/>
      <c r="S39" s="487"/>
    </row>
    <row r="40" spans="2:19" hidden="1" outlineLevel="1" x14ac:dyDescent="0.25">
      <c r="B40" s="925" t="s">
        <v>531</v>
      </c>
      <c r="C40" s="923"/>
      <c r="D40" s="923"/>
      <c r="E40" s="923"/>
      <c r="F40" s="923"/>
      <c r="G40" s="923"/>
      <c r="H40" s="59"/>
      <c r="I40" s="924">
        <f>IFERROR(H40/'Housing Income'!$D$34,0)</f>
        <v>0</v>
      </c>
      <c r="J40" s="1444"/>
      <c r="K40" s="1445"/>
      <c r="L40" s="1445"/>
      <c r="M40" s="1446"/>
      <c r="O40" s="488"/>
      <c r="P40" s="486"/>
      <c r="Q40" s="486"/>
      <c r="R40" s="486"/>
      <c r="S40" s="487"/>
    </row>
    <row r="41" spans="2:19" hidden="1" outlineLevel="1" x14ac:dyDescent="0.25">
      <c r="B41" s="925" t="s">
        <v>532</v>
      </c>
      <c r="C41" s="923"/>
      <c r="D41" s="923"/>
      <c r="E41" s="923"/>
      <c r="F41" s="923"/>
      <c r="G41" s="923"/>
      <c r="H41" s="59"/>
      <c r="I41" s="924">
        <f>IFERROR(H41/'Housing Income'!$D$34,0)</f>
        <v>0</v>
      </c>
      <c r="J41" s="1444"/>
      <c r="K41" s="1445"/>
      <c r="L41" s="1445"/>
      <c r="M41" s="1446"/>
      <c r="O41" s="488"/>
      <c r="P41" s="486"/>
      <c r="Q41" s="486"/>
      <c r="R41" s="486"/>
      <c r="S41" s="487"/>
    </row>
    <row r="42" spans="2:19" hidden="1" outlineLevel="1" x14ac:dyDescent="0.25">
      <c r="B42" s="925" t="s">
        <v>13</v>
      </c>
      <c r="C42" s="923"/>
      <c r="D42" s="1454"/>
      <c r="E42" s="1454"/>
      <c r="F42" s="1454"/>
      <c r="G42" s="923"/>
      <c r="H42" s="59"/>
      <c r="I42" s="924">
        <f>IFERROR(H42/'Housing Income'!$D$34,0)</f>
        <v>0</v>
      </c>
      <c r="J42" s="1444"/>
      <c r="K42" s="1445"/>
      <c r="L42" s="1445"/>
      <c r="M42" s="1446"/>
      <c r="O42" s="488"/>
      <c r="P42" s="486"/>
      <c r="Q42" s="486"/>
      <c r="R42" s="486"/>
      <c r="S42" s="487"/>
    </row>
    <row r="43" spans="2:19" collapsed="1" x14ac:dyDescent="0.25">
      <c r="B43" s="926" t="s">
        <v>533</v>
      </c>
      <c r="C43" s="923"/>
      <c r="D43" s="317" t="s">
        <v>534</v>
      </c>
      <c r="F43" s="939">
        <f>IFERROR(H43/(H76-H43),0)</f>
        <v>0</v>
      </c>
      <c r="G43" s="923"/>
      <c r="H43" s="927">
        <f>SUM(H39:H42)</f>
        <v>0</v>
      </c>
      <c r="I43" s="927">
        <f>SUM(I39:I42)</f>
        <v>0</v>
      </c>
      <c r="J43" s="1444"/>
      <c r="K43" s="1445"/>
      <c r="L43" s="1445"/>
      <c r="M43" s="1446"/>
      <c r="O43" s="488"/>
      <c r="P43" s="486"/>
      <c r="Q43" s="486"/>
      <c r="R43" s="486"/>
      <c r="S43" s="487"/>
    </row>
    <row r="44" spans="2:19" x14ac:dyDescent="0.25">
      <c r="B44" s="919" t="s">
        <v>566</v>
      </c>
      <c r="C44" s="920"/>
      <c r="D44" s="920"/>
      <c r="E44" s="920"/>
      <c r="F44" s="920"/>
      <c r="G44" s="920"/>
      <c r="H44" s="920"/>
      <c r="I44" s="920"/>
      <c r="J44" s="920"/>
      <c r="K44" s="920"/>
      <c r="L44" s="920"/>
      <c r="M44" s="921"/>
      <c r="O44" s="488"/>
      <c r="P44" s="486"/>
      <c r="Q44" s="486"/>
      <c r="R44" s="486"/>
      <c r="S44" s="487"/>
    </row>
    <row r="45" spans="2:19" x14ac:dyDescent="0.25">
      <c r="B45" s="940" t="s">
        <v>550</v>
      </c>
      <c r="C45" s="923"/>
      <c r="D45" s="931"/>
      <c r="E45" s="931"/>
      <c r="F45" s="931"/>
      <c r="G45" s="923"/>
      <c r="H45" s="405"/>
      <c r="I45" s="924">
        <f>IFERROR(H45/'Housing Income'!$D$34,0)</f>
        <v>0</v>
      </c>
      <c r="J45" s="1444"/>
      <c r="K45" s="1445"/>
      <c r="L45" s="1445"/>
      <c r="M45" s="1446"/>
      <c r="O45" s="488"/>
      <c r="P45" s="486"/>
      <c r="Q45" s="486"/>
      <c r="R45" s="486"/>
      <c r="S45" s="487"/>
    </row>
    <row r="46" spans="2:19" x14ac:dyDescent="0.25">
      <c r="B46" s="928" t="s">
        <v>551</v>
      </c>
      <c r="C46" s="923"/>
      <c r="D46" s="931"/>
      <c r="E46" s="931"/>
      <c r="F46" s="931"/>
      <c r="G46" s="923"/>
      <c r="H46" s="59"/>
      <c r="I46" s="924">
        <f>IFERROR(H46/'Housing Income'!$D$34,0)</f>
        <v>0</v>
      </c>
      <c r="J46" s="1444"/>
      <c r="K46" s="1445"/>
      <c r="L46" s="1445"/>
      <c r="M46" s="1446"/>
      <c r="O46" s="488"/>
      <c r="P46" s="486"/>
      <c r="Q46" s="486"/>
      <c r="R46" s="486"/>
      <c r="S46" s="487"/>
    </row>
    <row r="47" spans="2:19" x14ac:dyDescent="0.25">
      <c r="B47" s="928" t="s">
        <v>557</v>
      </c>
      <c r="C47" s="923"/>
      <c r="G47" s="923"/>
      <c r="H47" s="59"/>
      <c r="I47" s="924">
        <f>IFERROR(H47/'Housing Income'!$D$34,0)</f>
        <v>0</v>
      </c>
      <c r="J47" s="1444"/>
      <c r="K47" s="1445"/>
      <c r="L47" s="1445"/>
      <c r="M47" s="1446"/>
      <c r="O47" s="488"/>
      <c r="P47" s="486"/>
      <c r="Q47" s="486"/>
      <c r="R47" s="486"/>
      <c r="S47" s="487"/>
    </row>
    <row r="48" spans="2:19" x14ac:dyDescent="0.25">
      <c r="B48" s="928" t="s">
        <v>559</v>
      </c>
      <c r="C48" s="923"/>
      <c r="G48" s="923"/>
      <c r="H48" s="59"/>
      <c r="I48" s="924">
        <f>IFERROR(H48/'Housing Income'!$D$34,0)</f>
        <v>0</v>
      </c>
      <c r="J48" s="1444"/>
      <c r="K48" s="1445"/>
      <c r="L48" s="1445"/>
      <c r="M48" s="1446"/>
      <c r="O48" s="488"/>
      <c r="P48" s="486"/>
      <c r="Q48" s="486"/>
      <c r="R48" s="486"/>
      <c r="S48" s="487"/>
    </row>
    <row r="49" spans="2:19" x14ac:dyDescent="0.25">
      <c r="B49" s="928" t="s">
        <v>724</v>
      </c>
      <c r="C49" s="923"/>
      <c r="G49" s="923"/>
      <c r="H49" s="59"/>
      <c r="I49" s="924">
        <f>IFERROR(H49/'Housing Income'!$D$34,0)</f>
        <v>0</v>
      </c>
      <c r="J49" s="314" t="s">
        <v>723</v>
      </c>
      <c r="K49" s="315"/>
      <c r="L49" s="315"/>
      <c r="M49" s="316"/>
      <c r="O49" s="488"/>
      <c r="P49" s="486"/>
      <c r="Q49" s="486"/>
      <c r="R49" s="486"/>
      <c r="S49" s="487"/>
    </row>
    <row r="50" spans="2:19" x14ac:dyDescent="0.25">
      <c r="B50" s="928" t="s">
        <v>558</v>
      </c>
      <c r="C50" s="923"/>
      <c r="D50" s="1454"/>
      <c r="E50" s="1454"/>
      <c r="F50" s="1454"/>
      <c r="G50" s="923"/>
      <c r="H50" s="59"/>
      <c r="I50" s="924">
        <f>IFERROR(H50/'Housing Income'!$D$34,0)</f>
        <v>0</v>
      </c>
      <c r="J50" s="1444"/>
      <c r="K50" s="1445"/>
      <c r="L50" s="1445"/>
      <c r="M50" s="1446"/>
      <c r="O50" s="488"/>
      <c r="P50" s="486"/>
      <c r="Q50" s="486"/>
      <c r="R50" s="486"/>
      <c r="S50" s="487"/>
    </row>
    <row r="51" spans="2:19" x14ac:dyDescent="0.25">
      <c r="B51" s="922" t="s">
        <v>561</v>
      </c>
      <c r="C51" s="923"/>
      <c r="D51" s="931"/>
      <c r="E51" s="931"/>
      <c r="F51" s="931"/>
      <c r="G51" s="923"/>
      <c r="H51" s="935">
        <f>SUM(H45:H50)</f>
        <v>0</v>
      </c>
      <c r="I51" s="935">
        <f>SUM(I45:I50)</f>
        <v>0</v>
      </c>
      <c r="J51" s="1444"/>
      <c r="K51" s="1445"/>
      <c r="L51" s="1445"/>
      <c r="M51" s="1446"/>
      <c r="O51" s="488" t="s">
        <v>590</v>
      </c>
      <c r="P51" s="486"/>
      <c r="Q51" s="486"/>
      <c r="R51" s="486"/>
      <c r="S51" s="487"/>
    </row>
    <row r="52" spans="2:19" x14ac:dyDescent="0.25">
      <c r="B52" s="919" t="s">
        <v>567</v>
      </c>
      <c r="C52" s="920"/>
      <c r="D52" s="920"/>
      <c r="E52" s="920"/>
      <c r="F52" s="920"/>
      <c r="G52" s="920"/>
      <c r="H52" s="920"/>
      <c r="I52" s="920"/>
      <c r="J52" s="920"/>
      <c r="K52" s="920"/>
      <c r="L52" s="920"/>
      <c r="M52" s="921"/>
      <c r="O52" s="488"/>
      <c r="P52" s="486"/>
      <c r="Q52" s="486"/>
      <c r="R52" s="486"/>
      <c r="S52" s="487"/>
    </row>
    <row r="53" spans="2:19" hidden="1" outlineLevel="1" x14ac:dyDescent="0.25">
      <c r="B53" s="940" t="s">
        <v>555</v>
      </c>
      <c r="C53" s="923"/>
      <c r="D53" s="931"/>
      <c r="E53" s="931"/>
      <c r="F53" s="931"/>
      <c r="G53" s="923"/>
      <c r="H53" s="59"/>
      <c r="I53" s="941">
        <f>IFERROR(H53/'Housing Income'!$D$34,0)</f>
        <v>0</v>
      </c>
      <c r="J53" s="1444"/>
      <c r="K53" s="1445"/>
      <c r="L53" s="1445"/>
      <c r="M53" s="1446"/>
      <c r="O53" s="488"/>
      <c r="P53" s="486"/>
      <c r="Q53" s="486"/>
      <c r="R53" s="486"/>
      <c r="S53" s="487"/>
    </row>
    <row r="54" spans="2:19" hidden="1" outlineLevel="1" x14ac:dyDescent="0.25">
      <c r="B54" s="928" t="s">
        <v>552</v>
      </c>
      <c r="C54" s="923"/>
      <c r="D54" s="931"/>
      <c r="E54" s="931"/>
      <c r="F54" s="931"/>
      <c r="G54" s="923"/>
      <c r="H54" s="59"/>
      <c r="I54" s="941">
        <f>IFERROR(H54/'Housing Income'!$D$34,0)</f>
        <v>0</v>
      </c>
      <c r="J54" s="1444"/>
      <c r="K54" s="1445"/>
      <c r="L54" s="1445"/>
      <c r="M54" s="1446"/>
      <c r="O54" s="488"/>
      <c r="P54" s="486"/>
      <c r="Q54" s="486"/>
      <c r="R54" s="486"/>
      <c r="S54" s="487"/>
    </row>
    <row r="55" spans="2:19" hidden="1" outlineLevel="1" x14ac:dyDescent="0.25">
      <c r="B55" s="940" t="s">
        <v>556</v>
      </c>
      <c r="C55" s="923"/>
      <c r="D55" s="931"/>
      <c r="E55" s="931"/>
      <c r="F55" s="931"/>
      <c r="G55" s="923"/>
      <c r="H55" s="59"/>
      <c r="I55" s="941">
        <f>IFERROR(H55/'Housing Income'!$D$34,0)</f>
        <v>0</v>
      </c>
      <c r="J55" s="1444"/>
      <c r="K55" s="1445"/>
      <c r="L55" s="1445"/>
      <c r="M55" s="1446"/>
      <c r="O55" s="488"/>
      <c r="P55" s="486"/>
      <c r="Q55" s="486"/>
      <c r="R55" s="486"/>
      <c r="S55" s="487"/>
    </row>
    <row r="56" spans="2:19" hidden="1" outlineLevel="1" x14ac:dyDescent="0.25">
      <c r="B56" s="940" t="s">
        <v>553</v>
      </c>
      <c r="C56" s="923"/>
      <c r="D56" s="931"/>
      <c r="E56" s="931"/>
      <c r="F56" s="931"/>
      <c r="G56" s="923"/>
      <c r="H56" s="59"/>
      <c r="I56" s="941">
        <f>IFERROR(H56/'Housing Income'!$D$34,0)</f>
        <v>0</v>
      </c>
      <c r="J56" s="1444"/>
      <c r="K56" s="1445"/>
      <c r="L56" s="1445"/>
      <c r="M56" s="1446"/>
      <c r="O56" s="488"/>
      <c r="P56" s="486"/>
      <c r="Q56" s="486"/>
      <c r="R56" s="486"/>
      <c r="S56" s="487"/>
    </row>
    <row r="57" spans="2:19" hidden="1" outlineLevel="1" x14ac:dyDescent="0.25">
      <c r="B57" s="940" t="s">
        <v>554</v>
      </c>
      <c r="C57" s="923"/>
      <c r="D57" s="931"/>
      <c r="E57" s="931"/>
      <c r="F57" s="931"/>
      <c r="G57" s="923"/>
      <c r="H57" s="59"/>
      <c r="I57" s="941">
        <f>IFERROR(H57/'Housing Income'!$D$34,0)</f>
        <v>0</v>
      </c>
      <c r="J57" s="1444"/>
      <c r="K57" s="1445"/>
      <c r="L57" s="1445"/>
      <c r="M57" s="1446"/>
      <c r="O57" s="488"/>
      <c r="P57" s="486"/>
      <c r="Q57" s="486"/>
      <c r="R57" s="486"/>
      <c r="S57" s="487"/>
    </row>
    <row r="58" spans="2:19" hidden="1" outlineLevel="1" x14ac:dyDescent="0.25">
      <c r="B58" s="940" t="s">
        <v>560</v>
      </c>
      <c r="C58" s="923"/>
      <c r="D58" s="931"/>
      <c r="E58" s="931"/>
      <c r="F58" s="931"/>
      <c r="G58" s="923"/>
      <c r="H58" s="59"/>
      <c r="I58" s="941">
        <f>IFERROR(H58/'Housing Income'!$D$34,0)</f>
        <v>0</v>
      </c>
      <c r="J58" s="1444"/>
      <c r="K58" s="1445"/>
      <c r="L58" s="1445"/>
      <c r="M58" s="1446"/>
      <c r="O58" s="488"/>
      <c r="P58" s="486"/>
      <c r="Q58" s="486"/>
      <c r="R58" s="486"/>
      <c r="S58" s="487"/>
    </row>
    <row r="59" spans="2:19" hidden="1" outlineLevel="1" x14ac:dyDescent="0.25">
      <c r="B59" s="928" t="s">
        <v>549</v>
      </c>
      <c r="C59" s="923"/>
      <c r="D59" s="923"/>
      <c r="E59" s="923"/>
      <c r="F59" s="923"/>
      <c r="G59" s="923"/>
      <c r="H59" s="59"/>
      <c r="I59" s="941">
        <f>IFERROR(H59/'Housing Income'!$D$34,0)</f>
        <v>0</v>
      </c>
      <c r="J59" s="1441"/>
      <c r="K59" s="1442"/>
      <c r="L59" s="1442"/>
      <c r="M59" s="1443"/>
      <c r="O59" s="488"/>
      <c r="P59" s="486"/>
      <c r="Q59" s="486"/>
      <c r="R59" s="486"/>
      <c r="S59" s="487"/>
    </row>
    <row r="60" spans="2:19" hidden="1" outlineLevel="1" x14ac:dyDescent="0.25">
      <c r="B60" s="928" t="s">
        <v>535</v>
      </c>
      <c r="C60" s="923"/>
      <c r="D60" s="931"/>
      <c r="E60" s="931"/>
      <c r="F60" s="931"/>
      <c r="G60" s="923"/>
      <c r="H60" s="59"/>
      <c r="I60" s="941">
        <f>IFERROR(H60/'Housing Income'!$D$34,0)</f>
        <v>0</v>
      </c>
      <c r="J60" s="1441"/>
      <c r="K60" s="1442"/>
      <c r="L60" s="1442"/>
      <c r="M60" s="1443"/>
      <c r="O60" s="488"/>
      <c r="P60" s="486"/>
      <c r="Q60" s="486"/>
      <c r="R60" s="486"/>
      <c r="S60" s="487"/>
    </row>
    <row r="61" spans="2:19" hidden="1" outlineLevel="1" x14ac:dyDescent="0.25">
      <c r="B61" s="940" t="s">
        <v>181</v>
      </c>
      <c r="C61" s="923"/>
      <c r="D61" s="931"/>
      <c r="E61" s="931"/>
      <c r="F61" s="931"/>
      <c r="G61" s="923"/>
      <c r="H61" s="59"/>
      <c r="I61" s="941">
        <f>IFERROR(H61/'Housing Income'!$D$34,0)</f>
        <v>0</v>
      </c>
      <c r="J61" s="1444"/>
      <c r="K61" s="1445"/>
      <c r="L61" s="1445"/>
      <c r="M61" s="1446"/>
      <c r="O61" s="488"/>
      <c r="P61" s="486"/>
      <c r="Q61" s="486"/>
      <c r="R61" s="486"/>
      <c r="S61" s="487"/>
    </row>
    <row r="62" spans="2:19" collapsed="1" x14ac:dyDescent="0.25">
      <c r="B62" s="940" t="s">
        <v>565</v>
      </c>
      <c r="C62" s="923"/>
      <c r="D62" s="1441"/>
      <c r="E62" s="1442"/>
      <c r="F62" s="1453"/>
      <c r="G62" s="923"/>
      <c r="H62" s="59"/>
      <c r="I62" s="941">
        <f>IFERROR(H62/'Housing Income'!$D$34,0)</f>
        <v>0</v>
      </c>
      <c r="J62" s="1444"/>
      <c r="K62" s="1445"/>
      <c r="L62" s="1445"/>
      <c r="M62" s="1446"/>
      <c r="O62" s="488"/>
      <c r="P62" s="486"/>
      <c r="Q62" s="486"/>
      <c r="R62" s="486"/>
      <c r="S62" s="487"/>
    </row>
    <row r="63" spans="2:19" x14ac:dyDescent="0.25">
      <c r="B63" s="922" t="s">
        <v>568</v>
      </c>
      <c r="C63" s="923"/>
      <c r="D63" s="931"/>
      <c r="E63" s="931"/>
      <c r="F63" s="931"/>
      <c r="G63" s="923"/>
      <c r="H63" s="935">
        <f>SUM(H53:H62)</f>
        <v>0</v>
      </c>
      <c r="I63" s="935">
        <f>SUM(I53:I62)</f>
        <v>0</v>
      </c>
      <c r="J63" s="1444"/>
      <c r="K63" s="1445"/>
      <c r="L63" s="1445"/>
      <c r="M63" s="1446"/>
      <c r="O63" s="488"/>
      <c r="P63" s="486"/>
      <c r="Q63" s="486"/>
      <c r="R63" s="486"/>
      <c r="S63" s="487"/>
    </row>
    <row r="64" spans="2:19" x14ac:dyDescent="0.25">
      <c r="B64" s="919" t="s">
        <v>569</v>
      </c>
      <c r="C64" s="920"/>
      <c r="D64" s="920"/>
      <c r="E64" s="920"/>
      <c r="F64" s="920"/>
      <c r="G64" s="920"/>
      <c r="H64" s="920"/>
      <c r="I64" s="920"/>
      <c r="J64" s="920"/>
      <c r="K64" s="920"/>
      <c r="L64" s="920"/>
      <c r="M64" s="921"/>
      <c r="O64" s="488"/>
      <c r="P64" s="486"/>
      <c r="Q64" s="486"/>
      <c r="R64" s="486"/>
      <c r="S64" s="487"/>
    </row>
    <row r="65" spans="2:19" x14ac:dyDescent="0.25">
      <c r="B65" s="942" t="s">
        <v>536</v>
      </c>
      <c r="C65" s="923"/>
      <c r="D65" s="943"/>
      <c r="E65" s="931"/>
      <c r="F65" s="931"/>
      <c r="G65" s="923"/>
      <c r="H65" s="59"/>
      <c r="I65" s="924">
        <f>IFERROR(H65/'Housing Income'!$D$34,0)</f>
        <v>0</v>
      </c>
      <c r="J65" s="1444"/>
      <c r="K65" s="1445"/>
      <c r="L65" s="1445"/>
      <c r="M65" s="1446"/>
      <c r="O65" s="488"/>
      <c r="P65" s="486"/>
      <c r="Q65" s="486"/>
      <c r="R65" s="486"/>
      <c r="S65" s="487"/>
    </row>
    <row r="66" spans="2:19" x14ac:dyDescent="0.25">
      <c r="B66" s="925" t="s">
        <v>13</v>
      </c>
      <c r="C66" s="923"/>
      <c r="D66" s="1441"/>
      <c r="E66" s="1442"/>
      <c r="F66" s="1453"/>
      <c r="G66" s="923"/>
      <c r="H66" s="59"/>
      <c r="I66" s="924">
        <f>IFERROR(H66/'Housing Income'!$D$34,0)</f>
        <v>0</v>
      </c>
      <c r="J66" s="1444"/>
      <c r="K66" s="1445"/>
      <c r="L66" s="1445"/>
      <c r="M66" s="1446"/>
      <c r="O66" s="488"/>
      <c r="P66" s="486"/>
      <c r="Q66" s="486"/>
      <c r="R66" s="486"/>
      <c r="S66" s="487"/>
    </row>
    <row r="67" spans="2:19" x14ac:dyDescent="0.25">
      <c r="B67" s="926" t="s">
        <v>573</v>
      </c>
      <c r="C67" s="923"/>
      <c r="D67" s="944"/>
      <c r="E67" s="944"/>
      <c r="F67" s="944"/>
      <c r="G67" s="923"/>
      <c r="H67" s="930">
        <f>SUM(H65:H66)</f>
        <v>0</v>
      </c>
      <c r="I67" s="930">
        <f>SUM(I65:I66)</f>
        <v>0</v>
      </c>
      <c r="J67" s="1444"/>
      <c r="K67" s="1445"/>
      <c r="L67" s="1445"/>
      <c r="M67" s="1446"/>
      <c r="O67" s="488"/>
      <c r="P67" s="486"/>
      <c r="Q67" s="486"/>
      <c r="R67" s="486"/>
      <c r="S67" s="487"/>
    </row>
    <row r="68" spans="2:19" x14ac:dyDescent="0.25">
      <c r="B68" s="919" t="s">
        <v>537</v>
      </c>
      <c r="C68" s="920"/>
      <c r="D68" s="920"/>
      <c r="E68" s="920"/>
      <c r="F68" s="920"/>
      <c r="G68" s="920"/>
      <c r="H68" s="920"/>
      <c r="I68" s="920"/>
      <c r="J68" s="920"/>
      <c r="K68" s="920"/>
      <c r="L68" s="920"/>
      <c r="M68" s="921"/>
      <c r="O68" s="650"/>
      <c r="P68" s="486"/>
      <c r="Q68" s="486"/>
      <c r="R68" s="663"/>
      <c r="S68" s="664"/>
    </row>
    <row r="69" spans="2:19" x14ac:dyDescent="0.25">
      <c r="B69" s="190" t="s">
        <v>570</v>
      </c>
      <c r="E69" t="s">
        <v>794</v>
      </c>
      <c r="F69" s="326">
        <v>3</v>
      </c>
      <c r="G69" s="923"/>
      <c r="H69" s="59">
        <f>ROUNDUP('Cash Flow'!E36*F69/12,-2)</f>
        <v>0</v>
      </c>
      <c r="I69" s="924">
        <f>IFERROR(H69/'Housing Income'!$D$34,0)</f>
        <v>0</v>
      </c>
      <c r="J69" s="1444" t="s">
        <v>608</v>
      </c>
      <c r="K69" s="1445"/>
      <c r="L69" s="1445"/>
      <c r="M69" s="1446"/>
      <c r="O69" s="650"/>
      <c r="P69" s="486"/>
      <c r="Q69" s="486"/>
      <c r="R69" s="663"/>
      <c r="S69" s="664"/>
    </row>
    <row r="70" spans="2:19" x14ac:dyDescent="0.25">
      <c r="B70" s="190" t="s">
        <v>571</v>
      </c>
      <c r="E70" t="s">
        <v>794</v>
      </c>
      <c r="F70" s="326">
        <v>3</v>
      </c>
      <c r="G70" s="923"/>
      <c r="H70" s="59">
        <f>ROUNDUP(('Sources &amp; Loan Sizing'!K97+'Sources &amp; Loan Sizing'!L97)*F70/12,-2)</f>
        <v>0</v>
      </c>
      <c r="I70" s="924">
        <f>IFERROR(H70/'Housing Income'!$D$34,0)</f>
        <v>0</v>
      </c>
      <c r="J70" s="1444" t="s">
        <v>609</v>
      </c>
      <c r="K70" s="1445"/>
      <c r="L70" s="1445"/>
      <c r="M70" s="1446"/>
      <c r="O70" s="488"/>
      <c r="P70" s="486"/>
      <c r="Q70" s="486"/>
      <c r="R70" s="486"/>
      <c r="S70" s="487"/>
    </row>
    <row r="71" spans="2:19" x14ac:dyDescent="0.25">
      <c r="B71" s="190" t="s">
        <v>572</v>
      </c>
      <c r="G71" s="923"/>
      <c r="H71" s="59"/>
      <c r="I71" s="924">
        <f>IFERROR(H71/'Housing Income'!$D$34,0)</f>
        <v>0</v>
      </c>
      <c r="J71" s="1444"/>
      <c r="K71" s="1445"/>
      <c r="L71" s="1445"/>
      <c r="M71" s="1446"/>
      <c r="O71" s="488"/>
      <c r="P71" s="486"/>
      <c r="Q71" s="486"/>
      <c r="R71" s="486"/>
      <c r="S71" s="487"/>
    </row>
    <row r="72" spans="2:19" x14ac:dyDescent="0.25">
      <c r="B72" s="190" t="s">
        <v>13</v>
      </c>
      <c r="D72" s="1441"/>
      <c r="E72" s="1442"/>
      <c r="F72" s="1453"/>
      <c r="G72" s="923"/>
      <c r="H72" s="59"/>
      <c r="I72" s="924">
        <f>IFERROR(H72/'Housing Income'!$D$34,0)</f>
        <v>0</v>
      </c>
      <c r="J72" s="1444"/>
      <c r="K72" s="1445"/>
      <c r="L72" s="1445"/>
      <c r="M72" s="1446"/>
      <c r="O72" s="488"/>
      <c r="P72" s="486"/>
      <c r="Q72" s="486"/>
      <c r="R72" s="486"/>
      <c r="S72" s="487"/>
    </row>
    <row r="73" spans="2:19" x14ac:dyDescent="0.25">
      <c r="B73" s="190" t="s">
        <v>13</v>
      </c>
      <c r="D73" s="1441"/>
      <c r="E73" s="1442"/>
      <c r="F73" s="1453"/>
      <c r="G73" s="923"/>
      <c r="H73" s="59"/>
      <c r="I73" s="924">
        <f>IFERROR(H73/'Housing Income'!$D$34,0)</f>
        <v>0</v>
      </c>
      <c r="J73" s="1444"/>
      <c r="K73" s="1445"/>
      <c r="L73" s="1445"/>
      <c r="M73" s="1446"/>
      <c r="O73" s="488"/>
      <c r="P73" s="486"/>
      <c r="Q73" s="486"/>
      <c r="R73" s="486"/>
      <c r="S73" s="487"/>
    </row>
    <row r="74" spans="2:19" x14ac:dyDescent="0.25">
      <c r="B74" s="926" t="s">
        <v>538</v>
      </c>
      <c r="C74" s="923"/>
      <c r="D74" s="923"/>
      <c r="E74" s="923"/>
      <c r="F74" s="923"/>
      <c r="G74" s="923"/>
      <c r="H74" s="927">
        <f>SUM(H69:H73)</f>
        <v>0</v>
      </c>
      <c r="I74" s="927">
        <f t="shared" ref="I74" si="1">SUM(I69:I73)</f>
        <v>0</v>
      </c>
      <c r="J74" s="1444"/>
      <c r="K74" s="1445"/>
      <c r="L74" s="1445"/>
      <c r="M74" s="1446"/>
      <c r="O74" s="488"/>
      <c r="P74" s="486"/>
      <c r="Q74" s="486"/>
      <c r="R74" s="486"/>
      <c r="S74" s="487"/>
    </row>
    <row r="75" spans="2:19" x14ac:dyDescent="0.25">
      <c r="B75" s="919" t="s">
        <v>539</v>
      </c>
      <c r="C75" s="920"/>
      <c r="D75" s="920"/>
      <c r="E75" s="920"/>
      <c r="F75" s="920"/>
      <c r="G75" s="920"/>
      <c r="H75" s="920"/>
      <c r="I75" s="920"/>
      <c r="J75" s="920"/>
      <c r="K75" s="920"/>
      <c r="L75" s="920"/>
      <c r="M75" s="921"/>
      <c r="O75" s="488"/>
      <c r="P75" s="486"/>
      <c r="Q75" s="486"/>
      <c r="R75" s="486"/>
      <c r="S75" s="487"/>
    </row>
    <row r="76" spans="2:19" ht="15.75" thickBot="1" x14ac:dyDescent="0.3">
      <c r="B76" s="945" t="s">
        <v>540</v>
      </c>
      <c r="C76" s="946"/>
      <c r="D76" s="946"/>
      <c r="E76" s="946"/>
      <c r="F76" s="946"/>
      <c r="G76" s="946"/>
      <c r="H76" s="947">
        <f>H8+H17+H19+H37+H43+H51+H63+H67+H74</f>
        <v>0</v>
      </c>
      <c r="I76" s="947">
        <f>IFERROR(H76/'Housing Income'!$D$34,0)</f>
        <v>0</v>
      </c>
      <c r="J76" s="1447"/>
      <c r="K76" s="1448"/>
      <c r="L76" s="1448"/>
      <c r="M76" s="1449"/>
      <c r="O76" s="495"/>
      <c r="P76" s="496"/>
      <c r="Q76" s="496"/>
      <c r="R76" s="496"/>
      <c r="S76" s="497"/>
    </row>
  </sheetData>
  <sheetProtection sheet="1" formatCells="0" formatColumns="0" formatRows="0"/>
  <mergeCells count="77">
    <mergeCell ref="B2:M2"/>
    <mergeCell ref="D6:F6"/>
    <mergeCell ref="D7:F7"/>
    <mergeCell ref="D34:F34"/>
    <mergeCell ref="D36:F36"/>
    <mergeCell ref="D10:F10"/>
    <mergeCell ref="D11:F11"/>
    <mergeCell ref="D12:F12"/>
    <mergeCell ref="J5:M5"/>
    <mergeCell ref="J3:M3"/>
    <mergeCell ref="J6:M6"/>
    <mergeCell ref="J7:M7"/>
    <mergeCell ref="J8:M8"/>
    <mergeCell ref="J10:M10"/>
    <mergeCell ref="J11:M11"/>
    <mergeCell ref="J12:M12"/>
    <mergeCell ref="D72:F72"/>
    <mergeCell ref="D73:F73"/>
    <mergeCell ref="D42:F42"/>
    <mergeCell ref="D66:F66"/>
    <mergeCell ref="D62:F62"/>
    <mergeCell ref="D50:F50"/>
    <mergeCell ref="J13:M13"/>
    <mergeCell ref="J14:M14"/>
    <mergeCell ref="J15:M15"/>
    <mergeCell ref="J16:M16"/>
    <mergeCell ref="J17:M17"/>
    <mergeCell ref="J19:M19"/>
    <mergeCell ref="J26:M26"/>
    <mergeCell ref="J33:M33"/>
    <mergeCell ref="J25:M25"/>
    <mergeCell ref="J34:M34"/>
    <mergeCell ref="J30:M30"/>
    <mergeCell ref="J21:M21"/>
    <mergeCell ref="J31:M31"/>
    <mergeCell ref="J24:M24"/>
    <mergeCell ref="J28:M28"/>
    <mergeCell ref="J32:M32"/>
    <mergeCell ref="J27:M27"/>
    <mergeCell ref="J29:M29"/>
    <mergeCell ref="J57:M57"/>
    <mergeCell ref="J58:M58"/>
    <mergeCell ref="J59:M59"/>
    <mergeCell ref="J48:M48"/>
    <mergeCell ref="J50:M50"/>
    <mergeCell ref="J51:M51"/>
    <mergeCell ref="J53:M53"/>
    <mergeCell ref="J54:M54"/>
    <mergeCell ref="J72:M72"/>
    <mergeCell ref="J73:M73"/>
    <mergeCell ref="J74:M74"/>
    <mergeCell ref="J76:M76"/>
    <mergeCell ref="O2:S2"/>
    <mergeCell ref="J66:M66"/>
    <mergeCell ref="J67:M67"/>
    <mergeCell ref="J69:M69"/>
    <mergeCell ref="J70:M70"/>
    <mergeCell ref="J71:M71"/>
    <mergeCell ref="J60:M60"/>
    <mergeCell ref="J61:M61"/>
    <mergeCell ref="J62:M62"/>
    <mergeCell ref="J63:M63"/>
    <mergeCell ref="J65:M65"/>
    <mergeCell ref="J55:M55"/>
    <mergeCell ref="J35:M35"/>
    <mergeCell ref="J23:M23"/>
    <mergeCell ref="J56:M56"/>
    <mergeCell ref="J42:M42"/>
    <mergeCell ref="J43:M43"/>
    <mergeCell ref="J45:M45"/>
    <mergeCell ref="J46:M46"/>
    <mergeCell ref="J47:M47"/>
    <mergeCell ref="J36:M36"/>
    <mergeCell ref="J37:M37"/>
    <mergeCell ref="J39:M39"/>
    <mergeCell ref="J40:M40"/>
    <mergeCell ref="J41:M41"/>
  </mergeCells>
  <conditionalFormatting sqref="D43">
    <cfRule type="cellIs" dxfId="9" priority="5" operator="lessThan">
      <formula>#REF!</formula>
    </cfRule>
  </conditionalFormatting>
  <dataValidations count="1">
    <dataValidation type="list" allowBlank="1" showInputMessage="1" showErrorMessage="1" sqref="D10:F10" xr:uid="{8E6CD943-2487-4812-9086-0FC5277CF28D}">
      <formula1>"New Construction, Rehabilitation, Historic Rehabilitation"</formula1>
    </dataValidation>
  </dataValidations>
  <pageMargins left="0.7" right="0.7" top="0.75" bottom="0.75" header="0.3" footer="0.3"/>
  <pageSetup scale="86" orientation="portrait" r:id="rId1"/>
  <headerFooter>
    <oddFooter>&amp;L&amp;F</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9A2A9-DF33-474B-B323-D2B72057233D}">
  <sheetPr codeName="Sheet11"/>
  <dimension ref="B1:AC149"/>
  <sheetViews>
    <sheetView showGridLines="0" zoomScale="90" zoomScaleNormal="90" workbookViewId="0">
      <selection activeCell="G37" sqref="G37"/>
    </sheetView>
  </sheetViews>
  <sheetFormatPr defaultRowHeight="15" outlineLevelRow="2" outlineLevelCol="1" x14ac:dyDescent="0.25"/>
  <cols>
    <col min="1" max="1" width="5.140625" customWidth="1"/>
    <col min="6" max="6" width="13.42578125" customWidth="1"/>
    <col min="7" max="7" width="12.85546875" customWidth="1"/>
    <col min="8" max="8" width="12.28515625" customWidth="1"/>
    <col min="9" max="9" width="11" bestFit="1" customWidth="1"/>
    <col min="10" max="10" width="12.5703125" customWidth="1"/>
    <col min="11" max="11" width="10.42578125" customWidth="1"/>
    <col min="12" max="12" width="10.42578125" bestFit="1" customWidth="1"/>
    <col min="13" max="13" width="10.85546875" customWidth="1"/>
    <col min="14" max="14" width="13.85546875" bestFit="1" customWidth="1"/>
    <col min="15" max="15" width="4.42578125" customWidth="1"/>
    <col min="16" max="16" width="15.140625" customWidth="1" outlineLevel="1"/>
    <col min="17" max="17" width="11.140625" customWidth="1" outlineLevel="1"/>
    <col min="18" max="20" width="9.85546875" customWidth="1" outlineLevel="1"/>
    <col min="21" max="21" width="4.42578125" customWidth="1"/>
    <col min="23" max="23" width="14.5703125" customWidth="1"/>
  </cols>
  <sheetData>
    <row r="1" spans="2:29" ht="15.75" thickBot="1" x14ac:dyDescent="0.3"/>
    <row r="2" spans="2:29" ht="15.75" thickBot="1" x14ac:dyDescent="0.3">
      <c r="B2" s="1233" t="str">
        <f>UPPER(Summary!E7) &amp; " PROPOSED INTERIM SOURCES OF FUNDS"</f>
        <v xml:space="preserve"> PROPOSED INTERIM SOURCES OF FUNDS</v>
      </c>
      <c r="C2" s="1234"/>
      <c r="D2" s="1234"/>
      <c r="E2" s="1234"/>
      <c r="F2" s="1234"/>
      <c r="G2" s="1234"/>
      <c r="H2" s="1234"/>
      <c r="I2" s="1234"/>
      <c r="J2" s="1234"/>
      <c r="K2" s="1234"/>
      <c r="L2" s="1234"/>
      <c r="M2" s="1234"/>
      <c r="N2" s="1235"/>
      <c r="P2" s="1233" t="s">
        <v>99</v>
      </c>
      <c r="Q2" s="1234"/>
      <c r="R2" s="1234"/>
      <c r="S2" s="1234"/>
      <c r="T2" s="1235"/>
      <c r="V2" s="1233" t="s">
        <v>702</v>
      </c>
      <c r="W2" s="1234"/>
      <c r="X2" s="1234"/>
      <c r="Y2" s="1234"/>
      <c r="Z2" s="1234"/>
      <c r="AA2" s="1234"/>
      <c r="AB2" s="1234"/>
      <c r="AC2" s="1235"/>
    </row>
    <row r="3" spans="2:29" ht="15.75" thickBot="1" x14ac:dyDescent="0.3">
      <c r="B3" s="1517" t="s">
        <v>63</v>
      </c>
      <c r="C3" s="1518"/>
      <c r="D3" s="1518"/>
      <c r="E3" s="1519"/>
      <c r="F3" s="949" t="s">
        <v>599</v>
      </c>
      <c r="G3" s="949" t="s">
        <v>44</v>
      </c>
      <c r="H3" s="948" t="s">
        <v>742</v>
      </c>
      <c r="I3" s="949" t="s">
        <v>598</v>
      </c>
      <c r="J3" s="1086" t="s">
        <v>869</v>
      </c>
      <c r="K3" s="1091" t="s">
        <v>872</v>
      </c>
      <c r="L3" s="1477" t="s">
        <v>542</v>
      </c>
      <c r="M3" s="1294"/>
      <c r="N3" s="1478"/>
    </row>
    <row r="4" spans="2:29" ht="15.75" thickBot="1" x14ac:dyDescent="0.3">
      <c r="B4" s="1520"/>
      <c r="C4" s="1521"/>
      <c r="D4" s="1521"/>
      <c r="E4" s="1522"/>
      <c r="F4" s="1089"/>
      <c r="G4" s="158"/>
      <c r="H4" s="625"/>
      <c r="I4" s="326"/>
      <c r="J4" s="1085"/>
      <c r="K4" s="326"/>
      <c r="L4" s="1479"/>
      <c r="M4" s="1479"/>
      <c r="N4" s="1480"/>
      <c r="P4" s="482"/>
      <c r="Q4" s="483"/>
      <c r="R4" s="483"/>
      <c r="S4" s="483"/>
      <c r="T4" s="484"/>
      <c r="V4" s="1435" t="s">
        <v>95</v>
      </c>
      <c r="W4" s="1436"/>
      <c r="X4" s="1436"/>
      <c r="Y4" s="1436"/>
      <c r="Z4" s="1436"/>
      <c r="AA4" s="1436"/>
      <c r="AB4" s="1436"/>
      <c r="AC4" s="1437"/>
    </row>
    <row r="5" spans="2:29" ht="26.25" x14ac:dyDescent="0.25">
      <c r="B5" s="1520"/>
      <c r="C5" s="1521"/>
      <c r="D5" s="1521"/>
      <c r="E5" s="1522"/>
      <c r="F5" s="1089"/>
      <c r="G5" s="158"/>
      <c r="H5" s="625"/>
      <c r="I5" s="326"/>
      <c r="J5" s="1085"/>
      <c r="K5" s="326"/>
      <c r="L5" s="1479"/>
      <c r="M5" s="1479"/>
      <c r="N5" s="1480"/>
      <c r="P5" s="488"/>
      <c r="Q5" s="486"/>
      <c r="R5" s="486"/>
      <c r="S5" s="486"/>
      <c r="T5" s="487"/>
      <c r="V5" s="1252" t="s">
        <v>65</v>
      </c>
      <c r="W5" s="1253"/>
      <c r="X5" s="14" t="s">
        <v>91</v>
      </c>
      <c r="Y5" s="14" t="s">
        <v>60</v>
      </c>
      <c r="Z5" s="14" t="s">
        <v>64</v>
      </c>
      <c r="AA5" s="14" t="s">
        <v>93</v>
      </c>
      <c r="AB5" s="14" t="s">
        <v>92</v>
      </c>
      <c r="AC5" s="15" t="s">
        <v>94</v>
      </c>
    </row>
    <row r="6" spans="2:29" x14ac:dyDescent="0.25">
      <c r="B6" s="1523"/>
      <c r="C6" s="1521"/>
      <c r="D6" s="1521"/>
      <c r="E6" s="1522"/>
      <c r="F6" s="1089"/>
      <c r="G6" s="158"/>
      <c r="H6" s="625"/>
      <c r="I6" s="326"/>
      <c r="J6" s="1085"/>
      <c r="K6" s="326"/>
      <c r="L6" s="1479"/>
      <c r="M6" s="1479"/>
      <c r="N6" s="1480"/>
      <c r="P6" s="488"/>
      <c r="Q6" s="486"/>
      <c r="R6" s="486"/>
      <c r="S6" s="486"/>
      <c r="T6" s="487"/>
      <c r="V6" s="1485"/>
      <c r="W6" s="1486"/>
      <c r="X6" s="9"/>
      <c r="Y6" s="32"/>
      <c r="Z6" s="9"/>
      <c r="AA6" s="9"/>
      <c r="AB6" s="33"/>
      <c r="AC6" s="34"/>
    </row>
    <row r="7" spans="2:29" x14ac:dyDescent="0.25">
      <c r="B7" s="1524"/>
      <c r="C7" s="1525"/>
      <c r="D7" s="1525"/>
      <c r="E7" s="1526"/>
      <c r="F7" s="1089"/>
      <c r="G7" s="158"/>
      <c r="H7" s="626"/>
      <c r="I7" s="326"/>
      <c r="J7" s="1085"/>
      <c r="K7" s="326"/>
      <c r="L7" s="1479"/>
      <c r="M7" s="1479"/>
      <c r="N7" s="1480"/>
      <c r="P7" s="488"/>
      <c r="Q7" s="486"/>
      <c r="R7" s="486"/>
      <c r="S7" s="486"/>
      <c r="T7" s="487"/>
      <c r="V7" s="1485"/>
      <c r="W7" s="1486"/>
      <c r="X7" s="9"/>
      <c r="Y7" s="32"/>
      <c r="Z7" s="9"/>
      <c r="AA7" s="9"/>
      <c r="AB7" s="33"/>
      <c r="AC7" s="34"/>
    </row>
    <row r="8" spans="2:29" ht="15.75" thickBot="1" x14ac:dyDescent="0.3">
      <c r="B8" s="1237" t="s">
        <v>671</v>
      </c>
      <c r="C8" s="1238"/>
      <c r="D8" s="1238"/>
      <c r="E8" s="1239"/>
      <c r="F8" s="373">
        <f>SUM(F4:F7)</f>
        <v>0</v>
      </c>
      <c r="G8" s="950"/>
      <c r="H8" s="667"/>
      <c r="I8" s="323"/>
      <c r="J8" s="1087"/>
      <c r="K8" s="323"/>
      <c r="L8" s="1481"/>
      <c r="M8" s="1482"/>
      <c r="N8" s="1483"/>
      <c r="P8" s="488"/>
      <c r="Q8" s="486"/>
      <c r="R8" s="486"/>
      <c r="S8" s="486"/>
      <c r="T8" s="487"/>
      <c r="V8" s="1497"/>
      <c r="W8" s="1486"/>
      <c r="X8" s="9"/>
      <c r="Y8" s="32"/>
      <c r="Z8" s="9"/>
      <c r="AA8" s="9"/>
      <c r="AB8" s="33"/>
      <c r="AC8" s="35"/>
    </row>
    <row r="9" spans="2:29" ht="15.75" thickBot="1" x14ac:dyDescent="0.3">
      <c r="P9" s="488"/>
      <c r="Q9" s="486"/>
      <c r="R9" s="486"/>
      <c r="S9" s="486"/>
      <c r="T9" s="487"/>
      <c r="V9" s="1497"/>
      <c r="W9" s="1486"/>
      <c r="X9" s="9"/>
      <c r="Y9" s="32"/>
      <c r="Z9" s="9"/>
      <c r="AA9" s="9"/>
      <c r="AB9" s="33"/>
      <c r="AC9" s="35"/>
    </row>
    <row r="10" spans="2:29" ht="15.75" thickBot="1" x14ac:dyDescent="0.3">
      <c r="B10" s="1275" t="str">
        <f>UPPER(Summary!E7) &amp; " PROPOSED PERMANENT SOURCES OF FUNDS"</f>
        <v xml:space="preserve"> PROPOSED PERMANENT SOURCES OF FUNDS</v>
      </c>
      <c r="C10" s="1276"/>
      <c r="D10" s="1276"/>
      <c r="E10" s="1276"/>
      <c r="F10" s="1276"/>
      <c r="G10" s="1276"/>
      <c r="H10" s="1276"/>
      <c r="I10" s="1276"/>
      <c r="J10" s="1276"/>
      <c r="K10" s="1276"/>
      <c r="L10" s="1276"/>
      <c r="M10" s="1276"/>
      <c r="N10" s="1277"/>
      <c r="P10" s="488"/>
      <c r="Q10" s="486"/>
      <c r="R10" s="486"/>
      <c r="S10" s="486"/>
      <c r="T10" s="487"/>
      <c r="V10" s="1497"/>
      <c r="W10" s="1486"/>
      <c r="X10" s="9"/>
      <c r="Y10" s="32"/>
      <c r="Z10" s="9"/>
      <c r="AA10" s="9"/>
      <c r="AB10" s="33"/>
      <c r="AC10" s="35"/>
    </row>
    <row r="11" spans="2:29" x14ac:dyDescent="0.25">
      <c r="B11" s="1489" t="s">
        <v>63</v>
      </c>
      <c r="C11" s="1490"/>
      <c r="D11" s="1490"/>
      <c r="E11" s="1490"/>
      <c r="F11" s="949" t="s">
        <v>599</v>
      </c>
      <c r="G11" s="949" t="s">
        <v>44</v>
      </c>
      <c r="H11" s="949" t="s">
        <v>743</v>
      </c>
      <c r="I11" s="949" t="s">
        <v>598</v>
      </c>
      <c r="J11" s="1086" t="s">
        <v>869</v>
      </c>
      <c r="K11" s="1091" t="s">
        <v>872</v>
      </c>
      <c r="L11" s="1477" t="s">
        <v>542</v>
      </c>
      <c r="M11" s="1294"/>
      <c r="N11" s="1478"/>
      <c r="P11" s="488"/>
      <c r="Q11" s="486"/>
      <c r="R11" s="486"/>
      <c r="S11" s="486"/>
      <c r="T11" s="487"/>
      <c r="V11" s="1497"/>
      <c r="W11" s="1486"/>
      <c r="X11" s="9"/>
      <c r="Y11" s="32"/>
      <c r="Z11" s="9"/>
      <c r="AA11" s="9"/>
      <c r="AB11" s="33"/>
      <c r="AC11" s="35"/>
    </row>
    <row r="12" spans="2:29" x14ac:dyDescent="0.25">
      <c r="B12" s="1491" t="str">
        <f>IF(F12&gt;0,K87 &amp; " First Mortgage","")</f>
        <v/>
      </c>
      <c r="C12" s="1492"/>
      <c r="D12" s="1492"/>
      <c r="E12" s="1492"/>
      <c r="F12" s="627">
        <f>IF(K90&gt;0,K90,J159)</f>
        <v>0</v>
      </c>
      <c r="G12" s="628">
        <f>IF(F12&gt;0,K91,0)</f>
        <v>0</v>
      </c>
      <c r="H12" s="951">
        <f>K94</f>
        <v>0</v>
      </c>
      <c r="I12" s="326"/>
      <c r="J12" s="1085"/>
      <c r="K12" s="326"/>
      <c r="L12" s="1484"/>
      <c r="M12" s="1479"/>
      <c r="N12" s="1480"/>
      <c r="P12" s="488"/>
      <c r="Q12" s="486"/>
      <c r="R12" s="486"/>
      <c r="S12" s="486"/>
      <c r="T12" s="487"/>
      <c r="V12" s="1497"/>
      <c r="W12" s="1486"/>
      <c r="X12" s="9"/>
      <c r="Y12" s="32"/>
      <c r="Z12" s="9"/>
      <c r="AA12" s="9"/>
      <c r="AB12" s="33"/>
      <c r="AC12" s="35"/>
    </row>
    <row r="13" spans="2:29" x14ac:dyDescent="0.25">
      <c r="B13" s="1491" t="str">
        <f>IF(F13&gt;0,L87 &amp; " TIF Loan","")</f>
        <v/>
      </c>
      <c r="C13" s="1492"/>
      <c r="D13" s="1492"/>
      <c r="E13" s="1492"/>
      <c r="F13" s="627">
        <f>IF(L90&gt;0,L90,L159)</f>
        <v>0</v>
      </c>
      <c r="G13" s="628">
        <f>IF(F13&gt;0,L91,0)</f>
        <v>0</v>
      </c>
      <c r="H13" s="951">
        <f>L94</f>
        <v>0</v>
      </c>
      <c r="I13" s="326"/>
      <c r="J13" s="1085"/>
      <c r="K13" s="326"/>
      <c r="L13" s="1484"/>
      <c r="M13" s="1479"/>
      <c r="N13" s="1480"/>
      <c r="P13" s="488"/>
      <c r="Q13" s="486"/>
      <c r="R13" s="486"/>
      <c r="S13" s="486"/>
      <c r="T13" s="487"/>
      <c r="V13" s="1497"/>
      <c r="W13" s="1486"/>
      <c r="X13" s="9"/>
      <c r="Y13" s="32"/>
      <c r="Z13" s="9"/>
      <c r="AA13" s="9"/>
      <c r="AB13" s="33"/>
      <c r="AC13" s="35"/>
    </row>
    <row r="14" spans="2:29" x14ac:dyDescent="0.25">
      <c r="B14" s="1491" t="str">
        <f>IF(F14&gt;0,M87 &amp; " Second Mortgage","")</f>
        <v/>
      </c>
      <c r="C14" s="1492"/>
      <c r="D14" s="1492"/>
      <c r="E14" s="1492"/>
      <c r="F14" s="627">
        <f>IF(M90&gt;0,M90,M159)</f>
        <v>0</v>
      </c>
      <c r="G14" s="628">
        <f>IF(F14&gt;0,M91,0)</f>
        <v>0</v>
      </c>
      <c r="H14" s="951">
        <f>M94</f>
        <v>0</v>
      </c>
      <c r="I14" s="326"/>
      <c r="J14" s="1085"/>
      <c r="K14" s="326"/>
      <c r="L14" s="1484"/>
      <c r="M14" s="1479"/>
      <c r="N14" s="1480"/>
      <c r="P14" s="650"/>
      <c r="Q14" s="486"/>
      <c r="R14" s="486"/>
      <c r="S14" s="486"/>
      <c r="T14" s="487"/>
      <c r="V14" s="1497"/>
      <c r="W14" s="1486"/>
      <c r="X14" s="9"/>
      <c r="Y14" s="32"/>
      <c r="Z14" s="9"/>
      <c r="AA14" s="9"/>
      <c r="AB14" s="33"/>
      <c r="AC14" s="35"/>
    </row>
    <row r="15" spans="2:29" ht="15.75" thickBot="1" x14ac:dyDescent="0.3">
      <c r="B15" s="1527" t="str">
        <f>IF(F15&gt;0,N87 &amp; " Third Mortgage/Gap Loan","")</f>
        <v/>
      </c>
      <c r="C15" s="1528"/>
      <c r="D15" s="1528"/>
      <c r="E15" s="1528"/>
      <c r="F15" s="627">
        <f>IF(N90&gt;0,N90,N159)</f>
        <v>0</v>
      </c>
      <c r="G15" s="628">
        <f>IF(F15&gt;0,N91,0)</f>
        <v>0</v>
      </c>
      <c r="H15" s="952">
        <f>N94</f>
        <v>0</v>
      </c>
      <c r="I15" s="326"/>
      <c r="J15" s="1085"/>
      <c r="K15" s="326"/>
      <c r="L15" s="1484"/>
      <c r="M15" s="1479"/>
      <c r="N15" s="1480"/>
      <c r="P15" s="650"/>
      <c r="Q15" s="486"/>
      <c r="R15" s="486"/>
      <c r="S15" s="486"/>
      <c r="T15" s="487"/>
      <c r="V15" s="1498"/>
      <c r="W15" s="1499"/>
      <c r="X15" s="36"/>
      <c r="Y15" s="37"/>
      <c r="Z15" s="36"/>
      <c r="AA15" s="36"/>
      <c r="AB15" s="38"/>
      <c r="AC15" s="39"/>
    </row>
    <row r="16" spans="2:29" x14ac:dyDescent="0.25">
      <c r="B16" s="1529"/>
      <c r="C16" s="1530"/>
      <c r="D16" s="1530"/>
      <c r="E16" s="1530"/>
      <c r="F16" s="9"/>
      <c r="G16" s="158"/>
      <c r="H16" s="629"/>
      <c r="I16" s="326"/>
      <c r="J16" s="1085"/>
      <c r="K16" s="326"/>
      <c r="L16" s="1484"/>
      <c r="M16" s="1479"/>
      <c r="N16" s="1480"/>
      <c r="P16" s="650"/>
      <c r="Q16" s="486"/>
      <c r="R16" s="486"/>
      <c r="S16" s="486"/>
      <c r="T16" s="487"/>
    </row>
    <row r="17" spans="2:20" x14ac:dyDescent="0.25">
      <c r="B17" s="1493"/>
      <c r="C17" s="1494"/>
      <c r="D17" s="1494"/>
      <c r="E17" s="1494"/>
      <c r="F17" s="9"/>
      <c r="G17" s="158"/>
      <c r="H17" s="629"/>
      <c r="I17" s="326"/>
      <c r="J17" s="1085"/>
      <c r="K17" s="326"/>
      <c r="L17" s="1484"/>
      <c r="M17" s="1479"/>
      <c r="N17" s="1480"/>
      <c r="P17" s="488"/>
      <c r="Q17" s="486"/>
      <c r="R17" s="486"/>
      <c r="S17" s="486"/>
      <c r="T17" s="487"/>
    </row>
    <row r="18" spans="2:20" x14ac:dyDescent="0.25">
      <c r="B18" s="1493"/>
      <c r="C18" s="1494"/>
      <c r="D18" s="1494"/>
      <c r="E18" s="1494"/>
      <c r="F18" s="9"/>
      <c r="G18" s="158"/>
      <c r="H18" s="629"/>
      <c r="I18" s="326"/>
      <c r="J18" s="1085"/>
      <c r="K18" s="326"/>
      <c r="L18" s="1484"/>
      <c r="M18" s="1479"/>
      <c r="N18" s="1480"/>
      <c r="P18" s="488"/>
      <c r="Q18" s="486"/>
      <c r="R18" s="486"/>
      <c r="S18" s="486"/>
      <c r="T18" s="487"/>
    </row>
    <row r="19" spans="2:20" x14ac:dyDescent="0.25">
      <c r="B19" s="1493"/>
      <c r="C19" s="1494"/>
      <c r="D19" s="1494"/>
      <c r="E19" s="1494"/>
      <c r="F19" s="142"/>
      <c r="G19" s="158"/>
      <c r="H19" s="630"/>
      <c r="I19" s="326"/>
      <c r="J19" s="1085"/>
      <c r="K19" s="326"/>
      <c r="L19" s="1484"/>
      <c r="M19" s="1479"/>
      <c r="N19" s="1480"/>
      <c r="P19" s="488"/>
      <c r="Q19" s="505"/>
      <c r="R19" s="486"/>
      <c r="S19" s="486"/>
      <c r="T19" s="487"/>
    </row>
    <row r="20" spans="2:20" x14ac:dyDescent="0.25">
      <c r="B20" s="1493"/>
      <c r="C20" s="1494"/>
      <c r="D20" s="1494"/>
      <c r="E20" s="1494"/>
      <c r="F20" s="9"/>
      <c r="G20" s="158"/>
      <c r="H20" s="629"/>
      <c r="I20" s="326"/>
      <c r="J20" s="1085"/>
      <c r="K20" s="326"/>
      <c r="L20" s="1484"/>
      <c r="M20" s="1479"/>
      <c r="N20" s="1480"/>
      <c r="P20" s="488"/>
      <c r="Q20" s="505"/>
      <c r="R20" s="486"/>
      <c r="S20" s="486"/>
      <c r="T20" s="487"/>
    </row>
    <row r="21" spans="2:20" x14ac:dyDescent="0.25">
      <c r="B21" s="1493"/>
      <c r="C21" s="1494"/>
      <c r="D21" s="1494"/>
      <c r="E21" s="1494"/>
      <c r="F21" s="9"/>
      <c r="G21" s="158"/>
      <c r="H21" s="631"/>
      <c r="I21" s="326"/>
      <c r="J21" s="1085"/>
      <c r="K21" s="326"/>
      <c r="L21" s="1484"/>
      <c r="M21" s="1479"/>
      <c r="N21" s="1480"/>
      <c r="P21" s="488"/>
      <c r="Q21" s="486"/>
      <c r="R21" s="486"/>
      <c r="S21" s="486"/>
      <c r="T21" s="487"/>
    </row>
    <row r="22" spans="2:20" x14ac:dyDescent="0.25">
      <c r="B22" s="1493"/>
      <c r="C22" s="1494"/>
      <c r="D22" s="1494"/>
      <c r="E22" s="1494"/>
      <c r="F22" s="9"/>
      <c r="G22" s="158"/>
      <c r="H22" s="631"/>
      <c r="I22" s="326"/>
      <c r="J22" s="1085"/>
      <c r="K22" s="326"/>
      <c r="L22" s="1484"/>
      <c r="M22" s="1479"/>
      <c r="N22" s="1480"/>
      <c r="P22" s="488"/>
      <c r="Q22" s="486"/>
      <c r="R22" s="486"/>
      <c r="S22" s="486"/>
      <c r="T22" s="487"/>
    </row>
    <row r="23" spans="2:20" x14ac:dyDescent="0.25">
      <c r="B23" s="1493"/>
      <c r="C23" s="1494"/>
      <c r="D23" s="1494"/>
      <c r="E23" s="1494"/>
      <c r="F23" s="9"/>
      <c r="G23" s="158"/>
      <c r="H23" s="631"/>
      <c r="I23" s="326"/>
      <c r="J23" s="1085"/>
      <c r="K23" s="326"/>
      <c r="L23" s="1484"/>
      <c r="M23" s="1479"/>
      <c r="N23" s="1480"/>
      <c r="P23" s="488"/>
      <c r="Q23" s="486"/>
      <c r="R23" s="486"/>
      <c r="S23" s="486"/>
      <c r="T23" s="487"/>
    </row>
    <row r="24" spans="2:20" x14ac:dyDescent="0.25">
      <c r="B24" s="1495"/>
      <c r="C24" s="1496"/>
      <c r="D24" s="1496"/>
      <c r="E24" s="1496"/>
      <c r="F24" s="9"/>
      <c r="G24" s="158"/>
      <c r="H24" s="631"/>
      <c r="I24" s="326"/>
      <c r="J24" s="1085"/>
      <c r="K24" s="326"/>
      <c r="L24" s="1484"/>
      <c r="M24" s="1479"/>
      <c r="N24" s="1480"/>
      <c r="P24" s="488"/>
      <c r="Q24" s="486"/>
      <c r="R24" s="486"/>
      <c r="S24" s="486"/>
      <c r="T24" s="487"/>
    </row>
    <row r="25" spans="2:20" x14ac:dyDescent="0.25">
      <c r="B25" s="1495"/>
      <c r="C25" s="1496"/>
      <c r="D25" s="1496"/>
      <c r="E25" s="1496"/>
      <c r="F25" s="9"/>
      <c r="G25" s="158"/>
      <c r="H25" s="629"/>
      <c r="I25" s="326"/>
      <c r="J25" s="1085"/>
      <c r="K25" s="326"/>
      <c r="L25" s="1484"/>
      <c r="M25" s="1479"/>
      <c r="N25" s="1480"/>
      <c r="P25" s="488"/>
      <c r="Q25" s="486"/>
      <c r="R25" s="486"/>
      <c r="S25" s="486"/>
      <c r="T25" s="487"/>
    </row>
    <row r="26" spans="2:20" x14ac:dyDescent="0.25">
      <c r="B26" s="1497"/>
      <c r="C26" s="1486"/>
      <c r="D26" s="1486"/>
      <c r="E26" s="1486"/>
      <c r="F26" s="9"/>
      <c r="G26" s="158"/>
      <c r="H26" s="629"/>
      <c r="I26" s="326"/>
      <c r="J26" s="1085"/>
      <c r="K26" s="326"/>
      <c r="L26" s="1484"/>
      <c r="M26" s="1479"/>
      <c r="N26" s="1480"/>
      <c r="P26" s="488"/>
      <c r="Q26" s="486"/>
      <c r="R26" s="486"/>
      <c r="S26" s="486"/>
      <c r="T26" s="487"/>
    </row>
    <row r="27" spans="2:20" x14ac:dyDescent="0.25">
      <c r="B27" s="1487" t="s">
        <v>177</v>
      </c>
      <c r="C27" s="1488"/>
      <c r="D27" s="1488"/>
      <c r="E27" s="1488"/>
      <c r="F27" s="9"/>
      <c r="G27" s="158"/>
      <c r="H27" s="629"/>
      <c r="I27" s="326"/>
      <c r="J27" s="1088"/>
      <c r="K27" s="326"/>
      <c r="L27" s="1484"/>
      <c r="M27" s="1479"/>
      <c r="N27" s="1480"/>
      <c r="P27" s="650"/>
      <c r="Q27" s="486"/>
      <c r="R27" s="486"/>
      <c r="S27" s="486"/>
      <c r="T27" s="487"/>
    </row>
    <row r="28" spans="2:20" x14ac:dyDescent="0.25">
      <c r="B28" s="1266" t="s">
        <v>89</v>
      </c>
      <c r="C28" s="1195"/>
      <c r="D28" s="1195"/>
      <c r="E28" s="1195"/>
      <c r="F28" s="372">
        <f>F30-SUM(F12:F27)</f>
        <v>0</v>
      </c>
      <c r="G28" s="158"/>
      <c r="H28" s="997"/>
      <c r="I28" s="326"/>
      <c r="J28" s="1088"/>
      <c r="K28" s="326"/>
      <c r="L28" s="1484"/>
      <c r="M28" s="1479"/>
      <c r="N28" s="1480"/>
      <c r="P28" s="488"/>
      <c r="Q28" s="486"/>
      <c r="R28" s="486"/>
      <c r="S28" s="486"/>
      <c r="T28" s="487"/>
    </row>
    <row r="29" spans="2:20" ht="15.75" thickBot="1" x14ac:dyDescent="0.3">
      <c r="B29" s="1228" t="s">
        <v>645</v>
      </c>
      <c r="C29" s="1229"/>
      <c r="D29" s="1229"/>
      <c r="E29" s="1229"/>
      <c r="F29" s="953">
        <f>SUM(F12:F28)</f>
        <v>0</v>
      </c>
      <c r="G29" s="954"/>
      <c r="H29" s="667"/>
      <c r="I29" s="323"/>
      <c r="J29" s="1087"/>
      <c r="K29" s="323"/>
      <c r="L29" s="1481"/>
      <c r="M29" s="1482"/>
      <c r="N29" s="1483"/>
      <c r="P29" s="488"/>
      <c r="Q29" s="486"/>
      <c r="R29" s="486"/>
      <c r="S29" s="486"/>
      <c r="T29" s="487"/>
    </row>
    <row r="30" spans="2:20" ht="15.75" thickBot="1" x14ac:dyDescent="0.3">
      <c r="B30" s="1514" t="s">
        <v>540</v>
      </c>
      <c r="C30" s="1515"/>
      <c r="D30" s="1515"/>
      <c r="E30" s="1516"/>
      <c r="F30" s="955">
        <f>'Dev Costs'!H76</f>
        <v>0</v>
      </c>
      <c r="P30" s="488"/>
      <c r="Q30" s="486"/>
      <c r="R30" s="486"/>
      <c r="S30" s="486"/>
      <c r="T30" s="487"/>
    </row>
    <row r="31" spans="2:20" ht="15.75" thickBot="1" x14ac:dyDescent="0.3">
      <c r="F31" s="6"/>
      <c r="P31" s="488"/>
      <c r="Q31" s="486"/>
      <c r="R31" s="486"/>
      <c r="S31" s="486"/>
      <c r="T31" s="487"/>
    </row>
    <row r="32" spans="2:20" ht="15.75" thickBot="1" x14ac:dyDescent="0.3">
      <c r="B32" s="1233" t="s">
        <v>100</v>
      </c>
      <c r="C32" s="1234"/>
      <c r="D32" s="1234"/>
      <c r="E32" s="1234"/>
      <c r="F32" s="1234"/>
      <c r="G32" s="1234"/>
      <c r="H32" s="1234"/>
      <c r="I32" s="1234"/>
      <c r="J32" s="1234"/>
      <c r="K32" s="1234"/>
      <c r="L32" s="1234"/>
      <c r="M32" s="1234"/>
      <c r="N32" s="1235"/>
      <c r="P32" s="488"/>
      <c r="Q32" s="486"/>
      <c r="R32" s="486"/>
      <c r="S32" s="486"/>
      <c r="T32" s="487"/>
    </row>
    <row r="33" spans="2:20" x14ac:dyDescent="0.25">
      <c r="B33" s="1267" t="s">
        <v>266</v>
      </c>
      <c r="C33" s="1268"/>
      <c r="D33" s="1268"/>
      <c r="E33" s="1268"/>
      <c r="F33" s="1268"/>
      <c r="G33" s="1269"/>
      <c r="H33" s="1267" t="s">
        <v>267</v>
      </c>
      <c r="I33" s="1268"/>
      <c r="J33" s="1268"/>
      <c r="K33" s="1268"/>
      <c r="L33" s="1268"/>
      <c r="M33" s="1268"/>
      <c r="N33" s="1269"/>
      <c r="P33" s="488"/>
      <c r="Q33" s="486"/>
      <c r="R33" s="486"/>
      <c r="S33" s="486"/>
      <c r="T33" s="487"/>
    </row>
    <row r="34" spans="2:20" x14ac:dyDescent="0.25">
      <c r="B34" s="1214"/>
      <c r="C34" s="1215"/>
      <c r="D34" s="1215"/>
      <c r="E34" s="1215"/>
      <c r="F34" s="1216"/>
      <c r="G34" s="21" t="s">
        <v>56</v>
      </c>
      <c r="H34" s="1203"/>
      <c r="I34" s="1193"/>
      <c r="J34" s="1193"/>
      <c r="K34" s="1193"/>
      <c r="L34" s="1193"/>
      <c r="M34" s="22" t="s">
        <v>56</v>
      </c>
      <c r="N34" s="23" t="s">
        <v>57</v>
      </c>
      <c r="P34" s="488"/>
      <c r="Q34" s="486"/>
      <c r="R34" s="486"/>
      <c r="S34" s="486"/>
      <c r="T34" s="487"/>
    </row>
    <row r="35" spans="2:20" x14ac:dyDescent="0.25">
      <c r="B35" s="1196" t="s">
        <v>33</v>
      </c>
      <c r="C35" s="1206"/>
      <c r="D35" s="1206"/>
      <c r="E35" s="1206"/>
      <c r="F35" s="1207"/>
      <c r="G35" s="24">
        <f>'Cash Flow'!E38</f>
        <v>0</v>
      </c>
      <c r="H35" s="1270" t="s">
        <v>33</v>
      </c>
      <c r="I35" s="1195"/>
      <c r="J35" s="1195"/>
      <c r="K35" s="1195"/>
      <c r="L35" s="1195"/>
      <c r="M35" s="25">
        <f>'Cash Flow'!E38</f>
        <v>0</v>
      </c>
      <c r="N35" s="24">
        <f>'Cash Flow'!S38</f>
        <v>0</v>
      </c>
      <c r="P35" s="488"/>
      <c r="Q35" s="486"/>
      <c r="R35" s="486"/>
      <c r="S35" s="486"/>
      <c r="T35" s="487"/>
    </row>
    <row r="36" spans="2:20" x14ac:dyDescent="0.25">
      <c r="B36" s="1213" t="s">
        <v>55</v>
      </c>
      <c r="C36" s="1206"/>
      <c r="D36" s="1206"/>
      <c r="E36" s="1206"/>
      <c r="F36" s="1207"/>
      <c r="G36" s="27">
        <v>7.0000000000000007E-2</v>
      </c>
      <c r="H36" s="1266" t="s">
        <v>58</v>
      </c>
      <c r="I36" s="1195"/>
      <c r="J36" s="1195"/>
      <c r="K36" s="1195"/>
      <c r="L36" s="1195"/>
      <c r="M36" s="29">
        <v>1.2</v>
      </c>
      <c r="N36" s="30">
        <v>1.1000000000000001</v>
      </c>
      <c r="P36" s="488"/>
      <c r="Q36" s="486"/>
      <c r="R36" s="486"/>
      <c r="S36" s="486"/>
      <c r="T36" s="487"/>
    </row>
    <row r="37" spans="2:20" x14ac:dyDescent="0.25">
      <c r="B37" s="191" t="s">
        <v>110</v>
      </c>
      <c r="C37" s="192"/>
      <c r="D37" s="192"/>
      <c r="E37" s="192"/>
      <c r="F37" s="193"/>
      <c r="G37" s="958">
        <f>G35/G36</f>
        <v>0</v>
      </c>
      <c r="H37" s="1213" t="s">
        <v>50</v>
      </c>
      <c r="I37" s="1206"/>
      <c r="J37" s="1206"/>
      <c r="K37" s="1206"/>
      <c r="L37" s="1207"/>
      <c r="M37" s="25">
        <f>M35/M36</f>
        <v>0</v>
      </c>
      <c r="N37" s="24">
        <f>N35/N36</f>
        <v>0</v>
      </c>
      <c r="P37" s="488"/>
      <c r="Q37" s="486"/>
      <c r="R37" s="486"/>
      <c r="S37" s="486"/>
      <c r="T37" s="487"/>
    </row>
    <row r="38" spans="2:20" x14ac:dyDescent="0.25">
      <c r="B38" s="304" t="s">
        <v>600</v>
      </c>
      <c r="C38" s="319"/>
      <c r="D38" s="319"/>
      <c r="E38" s="319"/>
      <c r="F38" s="320"/>
      <c r="G38" s="10"/>
      <c r="H38" s="1213" t="s">
        <v>59</v>
      </c>
      <c r="I38" s="1206"/>
      <c r="J38" s="1206"/>
      <c r="K38" s="1206"/>
      <c r="L38" s="1207"/>
      <c r="M38" s="26"/>
      <c r="N38" s="24">
        <f>MIN(M37:N37)</f>
        <v>0</v>
      </c>
      <c r="P38" s="488"/>
      <c r="Q38" s="486"/>
      <c r="R38" s="486"/>
      <c r="S38" s="486"/>
      <c r="T38" s="487"/>
    </row>
    <row r="39" spans="2:20" x14ac:dyDescent="0.25">
      <c r="B39" s="304" t="s">
        <v>601</v>
      </c>
      <c r="C39" s="319"/>
      <c r="D39" s="319"/>
      <c r="E39" s="319"/>
      <c r="F39" s="320"/>
      <c r="G39" s="10"/>
      <c r="H39" s="1213" t="s">
        <v>60</v>
      </c>
      <c r="I39" s="1206"/>
      <c r="J39" s="1206"/>
      <c r="K39" s="1206"/>
      <c r="L39" s="1207"/>
      <c r="M39" s="26"/>
      <c r="N39" s="260">
        <v>7.0000000000000007E-2</v>
      </c>
      <c r="P39" s="488"/>
      <c r="Q39" s="486"/>
      <c r="R39" s="486"/>
      <c r="S39" s="486"/>
      <c r="T39" s="487"/>
    </row>
    <row r="40" spans="2:20" x14ac:dyDescent="0.25">
      <c r="B40" s="318" t="s">
        <v>272</v>
      </c>
      <c r="C40" s="179"/>
      <c r="D40" s="179"/>
      <c r="E40" s="179"/>
      <c r="F40" s="180"/>
      <c r="G40" s="28">
        <f>G37</f>
        <v>0</v>
      </c>
      <c r="H40" s="190"/>
      <c r="N40" s="207"/>
      <c r="P40" s="488"/>
      <c r="Q40" s="486"/>
      <c r="R40" s="486"/>
      <c r="S40" s="486"/>
      <c r="T40" s="487"/>
    </row>
    <row r="41" spans="2:20" x14ac:dyDescent="0.25">
      <c r="B41" s="304" t="s">
        <v>270</v>
      </c>
      <c r="C41" s="319"/>
      <c r="D41" s="319"/>
      <c r="E41" s="319"/>
      <c r="F41" s="320"/>
      <c r="G41" s="444">
        <v>0.8</v>
      </c>
      <c r="H41" s="1266" t="s">
        <v>61</v>
      </c>
      <c r="I41" s="1195"/>
      <c r="J41" s="1195"/>
      <c r="K41" s="1195"/>
      <c r="L41" s="1195"/>
      <c r="M41" s="26"/>
      <c r="N41" s="31">
        <v>30</v>
      </c>
      <c r="P41" s="488"/>
      <c r="Q41" s="486"/>
      <c r="R41" s="486"/>
      <c r="S41" s="486"/>
      <c r="T41" s="487"/>
    </row>
    <row r="42" spans="2:20" ht="15.75" thickBot="1" x14ac:dyDescent="0.3">
      <c r="B42" s="327" t="s">
        <v>90</v>
      </c>
      <c r="C42" s="324"/>
      <c r="D42" s="324"/>
      <c r="E42" s="324"/>
      <c r="F42" s="325"/>
      <c r="G42" s="374">
        <f>G40*G41</f>
        <v>0</v>
      </c>
      <c r="H42" s="1228" t="s">
        <v>265</v>
      </c>
      <c r="I42" s="1229"/>
      <c r="J42" s="1229"/>
      <c r="K42" s="1229"/>
      <c r="L42" s="1229"/>
      <c r="M42" s="323"/>
      <c r="N42" s="374">
        <f>PV(N39/12,N41*12,-N38/12,,)</f>
        <v>0</v>
      </c>
      <c r="P42" s="488"/>
      <c r="Q42" s="486"/>
      <c r="R42" s="486"/>
      <c r="S42" s="486"/>
      <c r="T42" s="487"/>
    </row>
    <row r="43" spans="2:20" ht="15.75" thickBot="1" x14ac:dyDescent="0.3">
      <c r="P43" s="488"/>
      <c r="Q43" s="486"/>
      <c r="R43" s="486"/>
      <c r="S43" s="486"/>
      <c r="T43" s="487"/>
    </row>
    <row r="44" spans="2:20" ht="15.75" thickBot="1" x14ac:dyDescent="0.3">
      <c r="B44" s="1275" t="s">
        <v>299</v>
      </c>
      <c r="C44" s="1276"/>
      <c r="D44" s="1276"/>
      <c r="E44" s="1276"/>
      <c r="F44" s="1276"/>
      <c r="G44" s="1276"/>
      <c r="H44" s="1276"/>
      <c r="I44" s="1276"/>
      <c r="J44" s="1276"/>
      <c r="K44" s="1276"/>
      <c r="L44" s="1276"/>
      <c r="M44" s="1276"/>
      <c r="N44" s="1277"/>
      <c r="P44" s="488"/>
      <c r="Q44" s="486"/>
      <c r="R44" s="486"/>
      <c r="S44" s="486"/>
      <c r="T44" s="487"/>
    </row>
    <row r="45" spans="2:20" x14ac:dyDescent="0.25">
      <c r="B45" s="1278" t="s">
        <v>300</v>
      </c>
      <c r="C45" s="1279"/>
      <c r="D45" s="1279"/>
      <c r="E45" s="1279"/>
      <c r="F45" s="1279"/>
      <c r="G45" s="1279"/>
      <c r="H45" s="1279" t="s">
        <v>301</v>
      </c>
      <c r="I45" s="1279"/>
      <c r="J45" s="1279"/>
      <c r="K45" s="1279"/>
      <c r="L45" s="1279"/>
      <c r="M45" s="1279"/>
      <c r="N45" s="1280"/>
      <c r="P45" s="488"/>
      <c r="Q45" s="486"/>
      <c r="R45" s="486"/>
      <c r="S45" s="486"/>
      <c r="T45" s="487"/>
    </row>
    <row r="46" spans="2:20" x14ac:dyDescent="0.25">
      <c r="B46" s="1281"/>
      <c r="C46" s="1282"/>
      <c r="D46" s="1282"/>
      <c r="E46" s="1282"/>
      <c r="F46" s="1282"/>
      <c r="G46" s="22" t="s">
        <v>56</v>
      </c>
      <c r="H46" s="1193"/>
      <c r="I46" s="1193"/>
      <c r="J46" s="1193"/>
      <c r="K46" s="1193"/>
      <c r="L46" s="1193"/>
      <c r="M46" s="22" t="s">
        <v>56</v>
      </c>
      <c r="N46" s="23" t="s">
        <v>57</v>
      </c>
      <c r="P46" s="488"/>
      <c r="Q46" s="486"/>
      <c r="R46" s="486"/>
      <c r="S46" s="486"/>
      <c r="T46" s="487"/>
    </row>
    <row r="47" spans="2:20" x14ac:dyDescent="0.25">
      <c r="B47" s="1283" t="s">
        <v>606</v>
      </c>
      <c r="C47" s="1195"/>
      <c r="D47" s="1195"/>
      <c r="E47" s="1195"/>
      <c r="F47" s="1195"/>
      <c r="G47" s="201">
        <f>G40</f>
        <v>0</v>
      </c>
      <c r="H47" s="1194" t="s">
        <v>304</v>
      </c>
      <c r="I47" s="1195"/>
      <c r="J47" s="1195"/>
      <c r="K47" s="1195"/>
      <c r="L47" s="1195"/>
      <c r="M47" s="25">
        <f>'Cash Flow'!E40</f>
        <v>0</v>
      </c>
      <c r="N47" s="24">
        <f>'Cash Flow'!S40</f>
        <v>0</v>
      </c>
      <c r="P47" s="488"/>
      <c r="Q47" s="486"/>
      <c r="R47" s="486"/>
      <c r="S47" s="486"/>
      <c r="T47" s="487"/>
    </row>
    <row r="48" spans="2:20" x14ac:dyDescent="0.25">
      <c r="B48" s="1270" t="s">
        <v>270</v>
      </c>
      <c r="C48" s="1195"/>
      <c r="D48" s="1195"/>
      <c r="E48" s="1195"/>
      <c r="F48" s="1195"/>
      <c r="G48" s="202">
        <v>0.95</v>
      </c>
      <c r="H48" s="1195" t="s">
        <v>58</v>
      </c>
      <c r="I48" s="1195"/>
      <c r="J48" s="1195"/>
      <c r="K48" s="1195"/>
      <c r="L48" s="1195"/>
      <c r="M48" s="29">
        <v>1.1000000000000001</v>
      </c>
      <c r="N48" s="30">
        <v>1.05</v>
      </c>
      <c r="P48" s="488"/>
      <c r="Q48" s="486"/>
      <c r="R48" s="486"/>
      <c r="S48" s="486"/>
      <c r="T48" s="487"/>
    </row>
    <row r="49" spans="2:20" x14ac:dyDescent="0.25">
      <c r="B49" s="1190" t="s">
        <v>309</v>
      </c>
      <c r="C49" s="1191"/>
      <c r="D49" s="1191"/>
      <c r="E49" s="1191"/>
      <c r="F49" s="1192"/>
      <c r="G49" s="961">
        <f>G47*G48</f>
        <v>0</v>
      </c>
      <c r="H49" s="1199" t="s">
        <v>305</v>
      </c>
      <c r="I49" s="1195"/>
      <c r="J49" s="1195"/>
      <c r="K49" s="1195"/>
      <c r="L49" s="1195"/>
      <c r="M49" s="25">
        <f>M47/M48</f>
        <v>0</v>
      </c>
      <c r="N49" s="24">
        <f>N47/N48</f>
        <v>0</v>
      </c>
      <c r="P49" s="488"/>
      <c r="Q49" s="486"/>
      <c r="R49" s="486"/>
      <c r="S49" s="486"/>
      <c r="T49" s="487"/>
    </row>
    <row r="50" spans="2:20" x14ac:dyDescent="0.25">
      <c r="B50" s="1190" t="s">
        <v>303</v>
      </c>
      <c r="C50" s="1191"/>
      <c r="D50" s="1191"/>
      <c r="E50" s="1191"/>
      <c r="F50" s="1192"/>
      <c r="G50" s="961">
        <f>IF(K88&gt;0,K88,K90)+IF(L88&gt;0,L88,L90)</f>
        <v>0</v>
      </c>
      <c r="H50" s="1274" t="s">
        <v>59</v>
      </c>
      <c r="I50" s="1206"/>
      <c r="J50" s="1206"/>
      <c r="K50" s="1206"/>
      <c r="L50" s="1206"/>
      <c r="M50" s="1207"/>
      <c r="N50" s="24">
        <f>MIN(M49:N49)</f>
        <v>0</v>
      </c>
      <c r="P50" s="488"/>
      <c r="Q50" s="655"/>
      <c r="R50" s="486"/>
      <c r="S50" s="486"/>
      <c r="T50" s="487"/>
    </row>
    <row r="51" spans="2:20" x14ac:dyDescent="0.25">
      <c r="B51" s="1500"/>
      <c r="C51" s="1501"/>
      <c r="D51" s="1501"/>
      <c r="E51" s="1501"/>
      <c r="F51" s="1502"/>
      <c r="G51" s="204"/>
      <c r="H51" s="1273" t="s">
        <v>306</v>
      </c>
      <c r="I51" s="1197"/>
      <c r="J51" s="1197"/>
      <c r="K51" s="1197"/>
      <c r="L51" s="1197"/>
      <c r="M51" s="1198"/>
      <c r="N51" s="24">
        <f>IF(K98&gt;0,K98,K97)+IF(L98&gt;0,L98,L97)</f>
        <v>0</v>
      </c>
      <c r="P51" s="650"/>
      <c r="Q51" s="654"/>
      <c r="R51" s="486"/>
      <c r="S51" s="486"/>
      <c r="T51" s="487"/>
    </row>
    <row r="52" spans="2:20" x14ac:dyDescent="0.25">
      <c r="B52" s="1500"/>
      <c r="C52" s="1501"/>
      <c r="D52" s="1501"/>
      <c r="E52" s="1501"/>
      <c r="F52" s="1502"/>
      <c r="G52" s="204"/>
      <c r="H52" s="1505" t="s">
        <v>308</v>
      </c>
      <c r="I52" s="1506"/>
      <c r="J52" s="1506"/>
      <c r="K52" s="1506"/>
      <c r="L52" s="1506"/>
      <c r="M52" s="1507"/>
      <c r="N52" s="189"/>
      <c r="P52" s="650"/>
      <c r="Q52" s="654"/>
      <c r="R52" s="486"/>
      <c r="S52" s="486"/>
      <c r="T52" s="487"/>
    </row>
    <row r="53" spans="2:20" x14ac:dyDescent="0.25">
      <c r="B53" s="1500"/>
      <c r="C53" s="1501"/>
      <c r="D53" s="1501"/>
      <c r="E53" s="1501"/>
      <c r="F53" s="1502"/>
      <c r="G53" s="204"/>
      <c r="H53" s="1273" t="s">
        <v>307</v>
      </c>
      <c r="I53" s="1197"/>
      <c r="J53" s="1197"/>
      <c r="K53" s="1197"/>
      <c r="L53" s="1197"/>
      <c r="M53" s="1198"/>
      <c r="N53" s="24">
        <f>N50-N51-N52</f>
        <v>0</v>
      </c>
      <c r="P53" s="650"/>
      <c r="Q53" s="654"/>
      <c r="R53" s="486"/>
      <c r="S53" s="486"/>
      <c r="T53" s="487"/>
    </row>
    <row r="54" spans="2:20" x14ac:dyDescent="0.25">
      <c r="B54" s="1503"/>
      <c r="C54" s="1504"/>
      <c r="D54" s="1504"/>
      <c r="E54" s="1504"/>
      <c r="F54" s="1504"/>
      <c r="G54" s="326"/>
      <c r="H54" s="1274" t="s">
        <v>60</v>
      </c>
      <c r="I54" s="1206"/>
      <c r="J54" s="1206"/>
      <c r="K54" s="1206"/>
      <c r="L54" s="1206"/>
      <c r="M54" s="1207"/>
      <c r="N54" s="1092">
        <f>N39</f>
        <v>7.0000000000000007E-2</v>
      </c>
      <c r="P54" s="650"/>
      <c r="Q54" s="486"/>
      <c r="R54" s="486"/>
      <c r="S54" s="486"/>
      <c r="T54" s="487"/>
    </row>
    <row r="55" spans="2:20" x14ac:dyDescent="0.25">
      <c r="B55" s="1503"/>
      <c r="C55" s="1504"/>
      <c r="D55" s="1504"/>
      <c r="E55" s="1504"/>
      <c r="F55" s="1504"/>
      <c r="G55" s="326"/>
      <c r="H55" s="1273" t="str">
        <f>IF(N55&gt;0,"Amortization (years)","Interest Only")</f>
        <v>Interest Only</v>
      </c>
      <c r="I55" s="1197"/>
      <c r="J55" s="1197"/>
      <c r="K55" s="1197"/>
      <c r="L55" s="1197"/>
      <c r="M55" s="1198"/>
      <c r="N55" s="31">
        <v>0</v>
      </c>
      <c r="P55" s="488"/>
      <c r="Q55" s="486"/>
      <c r="R55" s="486"/>
      <c r="S55" s="486"/>
      <c r="T55" s="487"/>
    </row>
    <row r="56" spans="2:20" ht="15.75" thickBot="1" x14ac:dyDescent="0.3">
      <c r="B56" s="1337" t="s">
        <v>302</v>
      </c>
      <c r="C56" s="1338"/>
      <c r="D56" s="1338"/>
      <c r="E56" s="1338"/>
      <c r="F56" s="1338"/>
      <c r="G56" s="203">
        <f>G49-G50-SUM(G51:G55)</f>
        <v>0</v>
      </c>
      <c r="H56" s="1324" t="s">
        <v>779</v>
      </c>
      <c r="I56" s="1238"/>
      <c r="J56" s="1238"/>
      <c r="K56" s="1238"/>
      <c r="L56" s="1238"/>
      <c r="M56" s="1239"/>
      <c r="N56" s="374" t="str">
        <f>IF(M85="x",IFERROR(IF(N55&gt;0,PV(N54/12,N55*12,-N53/12,,),N53/N54),0),"N/A")</f>
        <v>N/A</v>
      </c>
      <c r="P56" s="650" t="s">
        <v>805</v>
      </c>
      <c r="Q56" s="486"/>
      <c r="R56" s="486"/>
      <c r="S56" s="486"/>
      <c r="T56" s="487"/>
    </row>
    <row r="57" spans="2:20" ht="15.75" hidden="1" outlineLevel="1" thickBot="1" x14ac:dyDescent="0.3">
      <c r="B57" s="1275" t="s">
        <v>758</v>
      </c>
      <c r="C57" s="1276"/>
      <c r="D57" s="1276"/>
      <c r="E57" s="1276"/>
      <c r="F57" s="1276"/>
      <c r="G57" s="1276"/>
      <c r="H57" s="1276"/>
      <c r="I57" s="1276"/>
      <c r="J57" s="1276"/>
      <c r="K57" s="1276"/>
      <c r="L57" s="1276"/>
      <c r="M57" s="1276"/>
      <c r="N57" s="1277"/>
      <c r="P57" s="488"/>
      <c r="Q57" s="486"/>
      <c r="R57" s="486"/>
      <c r="S57" s="486"/>
      <c r="T57" s="487"/>
    </row>
    <row r="58" spans="2:20" hidden="1" outlineLevel="2" x14ac:dyDescent="0.25">
      <c r="B58" s="1305" t="s">
        <v>750</v>
      </c>
      <c r="C58" s="1306"/>
      <c r="D58" s="1306"/>
      <c r="E58" s="1306"/>
      <c r="F58" s="1306"/>
      <c r="G58" s="1307"/>
      <c r="H58" s="1305" t="s">
        <v>751</v>
      </c>
      <c r="I58" s="1306"/>
      <c r="J58" s="1306"/>
      <c r="K58" s="1306"/>
      <c r="L58" s="1306"/>
      <c r="M58" s="1306"/>
      <c r="N58" s="1307"/>
      <c r="P58" s="488"/>
      <c r="Q58" s="486"/>
      <c r="R58" s="486"/>
      <c r="S58" s="486"/>
      <c r="T58" s="487"/>
    </row>
    <row r="59" spans="2:20" hidden="1" outlineLevel="2" x14ac:dyDescent="0.25">
      <c r="B59" s="1308" t="s">
        <v>744</v>
      </c>
      <c r="C59" s="1195"/>
      <c r="D59" s="1195"/>
      <c r="E59" s="1195"/>
      <c r="F59" s="1195"/>
      <c r="G59" s="634">
        <f>F30</f>
        <v>0</v>
      </c>
      <c r="H59" s="1299" t="s">
        <v>766</v>
      </c>
      <c r="I59" s="1300"/>
      <c r="J59" s="1300"/>
      <c r="K59" s="1300"/>
      <c r="L59" s="1300"/>
      <c r="M59" s="1301"/>
      <c r="N59" s="693">
        <f>IFERROR(MIN('Cash Flow'!E70:S70),"N/A")</f>
        <v>0</v>
      </c>
      <c r="P59" s="488"/>
      <c r="Q59" s="486"/>
      <c r="R59" s="486"/>
      <c r="S59" s="486"/>
      <c r="T59" s="487"/>
    </row>
    <row r="60" spans="2:20" hidden="1" outlineLevel="2" x14ac:dyDescent="0.25">
      <c r="B60" s="1308" t="s">
        <v>745</v>
      </c>
      <c r="C60" s="1195"/>
      <c r="D60" s="1195"/>
      <c r="E60" s="1195"/>
      <c r="F60" s="1195"/>
      <c r="G60" s="634">
        <f>F12+F13</f>
        <v>0</v>
      </c>
      <c r="H60" s="1309" t="s">
        <v>752</v>
      </c>
      <c r="I60" s="1310"/>
      <c r="J60" s="1310"/>
      <c r="K60" s="1310"/>
      <c r="L60" s="1310"/>
      <c r="M60" s="1311"/>
      <c r="N60" s="962">
        <v>0.04</v>
      </c>
      <c r="P60" s="488"/>
      <c r="Q60" s="486"/>
      <c r="R60" s="486"/>
      <c r="S60" s="486"/>
      <c r="T60" s="487"/>
    </row>
    <row r="61" spans="2:20" ht="15.75" hidden="1" outlineLevel="2" thickBot="1" x14ac:dyDescent="0.3">
      <c r="B61" s="1308" t="s">
        <v>746</v>
      </c>
      <c r="C61" s="1195"/>
      <c r="D61" s="1195"/>
      <c r="E61" s="1195"/>
      <c r="F61" s="1195"/>
      <c r="G61" s="635">
        <f>SUM(G51:G55)</f>
        <v>0</v>
      </c>
      <c r="H61" s="1312" t="s">
        <v>753</v>
      </c>
      <c r="I61" s="1313"/>
      <c r="J61" s="1313"/>
      <c r="K61" s="1313"/>
      <c r="L61" s="1313"/>
      <c r="M61" s="1314"/>
      <c r="N61" s="694">
        <f>IFERROR(N59/N60,"N/A")</f>
        <v>0</v>
      </c>
      <c r="P61" s="488"/>
      <c r="Q61" s="486"/>
      <c r="R61" s="486"/>
      <c r="S61" s="486"/>
      <c r="T61" s="487"/>
    </row>
    <row r="62" spans="2:20" hidden="1" outlineLevel="2" x14ac:dyDescent="0.25">
      <c r="B62" s="632" t="s">
        <v>747</v>
      </c>
      <c r="C62" s="621"/>
      <c r="D62" s="621"/>
      <c r="E62" s="621"/>
      <c r="F62" s="621"/>
      <c r="G62" s="635">
        <f>G59-G60-G61</f>
        <v>0</v>
      </c>
      <c r="H62" s="1302" t="s">
        <v>754</v>
      </c>
      <c r="I62" s="1303"/>
      <c r="J62" s="1303"/>
      <c r="K62" s="1303"/>
      <c r="L62" s="1303"/>
      <c r="M62" s="1303"/>
      <c r="N62" s="1304"/>
      <c r="P62" s="488"/>
      <c r="Q62" s="486"/>
      <c r="R62" s="486"/>
      <c r="S62" s="486"/>
      <c r="T62" s="487"/>
    </row>
    <row r="63" spans="2:20" hidden="1" outlineLevel="2" x14ac:dyDescent="0.25">
      <c r="B63" s="1299"/>
      <c r="C63" s="1300"/>
      <c r="D63" s="1300"/>
      <c r="E63" s="1300"/>
      <c r="F63" s="1301"/>
      <c r="G63" s="635"/>
      <c r="H63" s="1299" t="s">
        <v>791</v>
      </c>
      <c r="I63" s="1300"/>
      <c r="J63" s="1300"/>
      <c r="K63" s="1300"/>
      <c r="L63" s="1300"/>
      <c r="M63" s="1301"/>
      <c r="N63" s="693">
        <f>M90</f>
        <v>0</v>
      </c>
      <c r="P63" s="488"/>
      <c r="Q63" s="486"/>
      <c r="R63" s="486"/>
      <c r="S63" s="486"/>
      <c r="T63" s="487"/>
    </row>
    <row r="64" spans="2:20" hidden="1" outlineLevel="2" x14ac:dyDescent="0.25">
      <c r="B64" s="1308" t="s">
        <v>748</v>
      </c>
      <c r="C64" s="1195"/>
      <c r="D64" s="1195"/>
      <c r="E64" s="1195"/>
      <c r="F64" s="1195"/>
      <c r="G64" s="956">
        <v>0.75</v>
      </c>
      <c r="H64" s="1309" t="s">
        <v>792</v>
      </c>
      <c r="I64" s="1310"/>
      <c r="J64" s="1310"/>
      <c r="K64" s="1310"/>
      <c r="L64" s="1310"/>
      <c r="M64" s="1311"/>
      <c r="N64" s="963">
        <f>IFERROR('Refi Analysis'!F34,0)</f>
        <v>0</v>
      </c>
      <c r="P64" s="488"/>
      <c r="Q64" s="486"/>
      <c r="R64" s="486"/>
      <c r="S64" s="486"/>
      <c r="T64" s="487"/>
    </row>
    <row r="65" spans="2:20" ht="15.75" hidden="1" outlineLevel="2" thickBot="1" x14ac:dyDescent="0.3">
      <c r="B65" s="1228" t="s">
        <v>749</v>
      </c>
      <c r="C65" s="1229"/>
      <c r="D65" s="1229"/>
      <c r="E65" s="1229"/>
      <c r="F65" s="1229"/>
      <c r="G65" s="643">
        <f>G64*G62</f>
        <v>0</v>
      </c>
      <c r="H65" s="1312" t="s">
        <v>756</v>
      </c>
      <c r="I65" s="1313"/>
      <c r="J65" s="1313"/>
      <c r="K65" s="1313"/>
      <c r="L65" s="1313"/>
      <c r="M65" s="1314"/>
      <c r="N65" s="695" t="str">
        <f>IF(N64&gt;=3%,"OK","FAIL")</f>
        <v>FAIL</v>
      </c>
      <c r="P65" s="488"/>
      <c r="Q65" s="486"/>
      <c r="R65" s="486"/>
      <c r="S65" s="486"/>
      <c r="T65" s="487"/>
    </row>
    <row r="66" spans="2:20" collapsed="1" x14ac:dyDescent="0.25">
      <c r="P66" s="650" t="s">
        <v>806</v>
      </c>
      <c r="Q66" s="486"/>
      <c r="R66" s="486"/>
      <c r="S66" s="486"/>
      <c r="T66" s="487"/>
    </row>
    <row r="67" spans="2:20" ht="15.75" hidden="1" outlineLevel="1" thickBot="1" x14ac:dyDescent="0.3">
      <c r="B67" s="1233" t="s">
        <v>273</v>
      </c>
      <c r="C67" s="1234"/>
      <c r="D67" s="1234"/>
      <c r="E67" s="1234"/>
      <c r="F67" s="1234"/>
      <c r="G67" s="1234"/>
      <c r="H67" s="1234"/>
      <c r="I67" s="1234"/>
      <c r="J67" s="1234"/>
      <c r="K67" s="1234"/>
      <c r="L67" s="1234"/>
      <c r="M67" s="1234"/>
      <c r="N67" s="1235"/>
      <c r="P67" s="488"/>
      <c r="Q67" s="486"/>
      <c r="R67" s="486"/>
      <c r="S67" s="486"/>
      <c r="T67" s="487"/>
    </row>
    <row r="68" spans="2:20" hidden="1" outlineLevel="1" x14ac:dyDescent="0.25">
      <c r="B68" s="1305" t="s">
        <v>268</v>
      </c>
      <c r="C68" s="1306"/>
      <c r="D68" s="1306"/>
      <c r="E68" s="1306"/>
      <c r="F68" s="1306"/>
      <c r="G68" s="1307"/>
      <c r="H68" s="1268" t="s">
        <v>276</v>
      </c>
      <c r="I68" s="1268"/>
      <c r="J68" s="1268"/>
      <c r="K68" s="1268"/>
      <c r="L68" s="1268"/>
      <c r="M68" s="1268"/>
      <c r="N68" s="1269"/>
      <c r="P68" s="488"/>
      <c r="Q68" s="486"/>
      <c r="R68" s="486"/>
      <c r="S68" s="486"/>
      <c r="T68" s="487"/>
    </row>
    <row r="69" spans="2:20" hidden="1" outlineLevel="1" x14ac:dyDescent="0.25">
      <c r="B69" s="198"/>
      <c r="C69" s="196"/>
      <c r="D69" s="196"/>
      <c r="E69" s="196"/>
      <c r="F69" s="197"/>
      <c r="G69" s="195" t="s">
        <v>56</v>
      </c>
      <c r="H69" s="1192"/>
      <c r="I69" s="1193"/>
      <c r="J69" s="1193"/>
      <c r="K69" s="1193"/>
      <c r="L69" s="1193"/>
      <c r="M69" s="1193"/>
      <c r="N69" s="23" t="s">
        <v>56</v>
      </c>
      <c r="P69" s="488"/>
      <c r="Q69" s="486"/>
      <c r="R69" s="486"/>
      <c r="S69" s="486"/>
      <c r="T69" s="487"/>
    </row>
    <row r="70" spans="2:20" hidden="1" outlineLevel="1" x14ac:dyDescent="0.25">
      <c r="B70" s="1196" t="s">
        <v>274</v>
      </c>
      <c r="C70" s="1197"/>
      <c r="D70" s="1197"/>
      <c r="E70" s="1197"/>
      <c r="F70" s="1198"/>
      <c r="G70" s="964">
        <f>'Inc &amp; Exp'!G44</f>
        <v>0</v>
      </c>
      <c r="H70" s="1198" t="s">
        <v>274</v>
      </c>
      <c r="I70" s="1199"/>
      <c r="J70" s="1199"/>
      <c r="K70" s="1199"/>
      <c r="L70" s="1199"/>
      <c r="M70" s="1199"/>
      <c r="N70" s="24">
        <f>G70</f>
        <v>0</v>
      </c>
      <c r="P70" s="488"/>
      <c r="Q70" s="486"/>
      <c r="R70" s="486"/>
      <c r="S70" s="486"/>
      <c r="T70" s="487"/>
    </row>
    <row r="71" spans="2:20" hidden="1" outlineLevel="1" x14ac:dyDescent="0.25">
      <c r="B71" s="1196" t="s">
        <v>287</v>
      </c>
      <c r="C71" s="1197"/>
      <c r="D71" s="1197"/>
      <c r="E71" s="1197"/>
      <c r="F71" s="1198"/>
      <c r="G71" s="369">
        <f>N75*2</f>
        <v>52</v>
      </c>
      <c r="H71" s="1207" t="s">
        <v>58</v>
      </c>
      <c r="I71" s="1195"/>
      <c r="J71" s="1195"/>
      <c r="K71" s="1195"/>
      <c r="L71" s="1195"/>
      <c r="M71" s="1195"/>
      <c r="N71" s="957">
        <v>1.2</v>
      </c>
      <c r="P71" s="488"/>
      <c r="Q71" s="486"/>
      <c r="R71" s="486"/>
      <c r="S71" s="486"/>
      <c r="T71" s="487"/>
    </row>
    <row r="72" spans="2:20" hidden="1" outlineLevel="1" x14ac:dyDescent="0.25">
      <c r="B72" s="1196" t="s">
        <v>263</v>
      </c>
      <c r="C72" s="1197"/>
      <c r="D72" s="1197"/>
      <c r="E72" s="1197"/>
      <c r="F72" s="1198"/>
      <c r="G72" s="444">
        <f>N39</f>
        <v>7.0000000000000007E-2</v>
      </c>
      <c r="H72" s="1207" t="s">
        <v>50</v>
      </c>
      <c r="I72" s="1195"/>
      <c r="J72" s="1195"/>
      <c r="K72" s="1195"/>
      <c r="L72" s="1195"/>
      <c r="M72" s="1195"/>
      <c r="N72" s="24">
        <f>N70/N71</f>
        <v>0</v>
      </c>
      <c r="P72" s="488"/>
      <c r="Q72" s="486"/>
      <c r="R72" s="486"/>
      <c r="S72" s="486"/>
      <c r="T72" s="487"/>
    </row>
    <row r="73" spans="2:20" hidden="1" outlineLevel="1" x14ac:dyDescent="0.25">
      <c r="B73" s="1190" t="s">
        <v>264</v>
      </c>
      <c r="C73" s="1191"/>
      <c r="D73" s="1191"/>
      <c r="E73" s="1191"/>
      <c r="F73" s="1192"/>
      <c r="G73" s="965">
        <f>ROUND(-PV(G72/2,G71,G70/2),-2)</f>
        <v>0</v>
      </c>
      <c r="H73" s="1207" t="s">
        <v>59</v>
      </c>
      <c r="I73" s="1195"/>
      <c r="J73" s="1195"/>
      <c r="K73" s="1195"/>
      <c r="L73" s="1195"/>
      <c r="M73" s="1195"/>
      <c r="N73" s="24">
        <f>MIN(M72:N72)</f>
        <v>0</v>
      </c>
      <c r="P73" s="488"/>
      <c r="Q73" s="486"/>
      <c r="R73" s="486"/>
      <c r="S73" s="486"/>
      <c r="T73" s="487"/>
    </row>
    <row r="74" spans="2:20" hidden="1" outlineLevel="1" x14ac:dyDescent="0.25">
      <c r="B74" s="1196" t="s">
        <v>269</v>
      </c>
      <c r="C74" s="1197"/>
      <c r="D74" s="1197"/>
      <c r="E74" s="1197"/>
      <c r="F74" s="1198"/>
      <c r="G74" s="959"/>
      <c r="H74" s="1207" t="s">
        <v>60</v>
      </c>
      <c r="I74" s="1195"/>
      <c r="J74" s="1195"/>
      <c r="K74" s="1195"/>
      <c r="L74" s="1195"/>
      <c r="M74" s="1195"/>
      <c r="N74" s="966">
        <f>N39</f>
        <v>7.0000000000000007E-2</v>
      </c>
      <c r="P74" s="488"/>
      <c r="Q74" s="486"/>
      <c r="R74" s="486"/>
      <c r="S74" s="486"/>
      <c r="T74" s="487"/>
    </row>
    <row r="75" spans="2:20" hidden="1" outlineLevel="1" x14ac:dyDescent="0.25">
      <c r="B75" s="1288" t="s">
        <v>271</v>
      </c>
      <c r="C75" s="1197"/>
      <c r="D75" s="1197"/>
      <c r="E75" s="1197"/>
      <c r="F75" s="1198"/>
      <c r="G75" s="960"/>
      <c r="H75" s="1198" t="s">
        <v>275</v>
      </c>
      <c r="I75" s="1195"/>
      <c r="J75" s="1195"/>
      <c r="K75" s="1195"/>
      <c r="L75" s="1195"/>
      <c r="M75" s="1195"/>
      <c r="N75" s="959">
        <v>26</v>
      </c>
      <c r="P75" s="488"/>
      <c r="Q75" s="486"/>
      <c r="R75" s="486"/>
      <c r="S75" s="486"/>
      <c r="T75" s="487"/>
    </row>
    <row r="76" spans="2:20" hidden="1" outlineLevel="1" x14ac:dyDescent="0.25">
      <c r="B76" s="304" t="s">
        <v>672</v>
      </c>
      <c r="C76" s="321"/>
      <c r="D76" s="321"/>
      <c r="E76" s="321"/>
      <c r="F76" s="322"/>
      <c r="G76" s="960">
        <f>G40</f>
        <v>0</v>
      </c>
      <c r="H76" t="s">
        <v>281</v>
      </c>
      <c r="L76" s="967" t="s">
        <v>282</v>
      </c>
      <c r="M76" s="52" t="s">
        <v>285</v>
      </c>
      <c r="N76" s="24">
        <f>VLOOKUP(L76,Lists!$C$1:$D$4,2,FALSE)</f>
        <v>12</v>
      </c>
      <c r="P76" s="488"/>
      <c r="Q76" s="486"/>
      <c r="R76" s="486"/>
      <c r="S76" s="486"/>
      <c r="T76" s="487"/>
    </row>
    <row r="77" spans="2:20" ht="15.75" hidden="1" outlineLevel="1" thickBot="1" x14ac:dyDescent="0.3">
      <c r="B77" s="304" t="s">
        <v>605</v>
      </c>
      <c r="C77" s="321"/>
      <c r="D77" s="321"/>
      <c r="E77" s="321"/>
      <c r="F77" s="322"/>
      <c r="G77" s="365">
        <f>G75+G76</f>
        <v>0</v>
      </c>
      <c r="H77" s="1238" t="s">
        <v>265</v>
      </c>
      <c r="I77" s="1238"/>
      <c r="J77" s="1238"/>
      <c r="K77" s="1238"/>
      <c r="L77" s="1238"/>
      <c r="M77" s="1239"/>
      <c r="N77" s="374">
        <f>PV(N74/N76,N75*N76,-N73/N76,,)</f>
        <v>0</v>
      </c>
      <c r="P77" s="488"/>
      <c r="Q77" s="486"/>
      <c r="R77" s="486"/>
      <c r="S77" s="486"/>
      <c r="T77" s="487"/>
    </row>
    <row r="78" spans="2:20" hidden="1" outlineLevel="1" x14ac:dyDescent="0.25">
      <c r="B78" s="1196" t="s">
        <v>270</v>
      </c>
      <c r="C78" s="1197"/>
      <c r="D78" s="1197"/>
      <c r="E78" s="1197"/>
      <c r="F78" s="1198"/>
      <c r="G78" s="444">
        <v>0.8</v>
      </c>
      <c r="P78" s="488"/>
      <c r="Q78" s="486"/>
      <c r="R78" s="486"/>
      <c r="S78" s="486"/>
      <c r="T78" s="487"/>
    </row>
    <row r="79" spans="2:20" hidden="1" outlineLevel="1" x14ac:dyDescent="0.25">
      <c r="B79" s="304" t="s">
        <v>603</v>
      </c>
      <c r="C79" s="321"/>
      <c r="D79" s="321"/>
      <c r="E79" s="321"/>
      <c r="F79" s="322"/>
      <c r="G79" s="365">
        <f>G77*G78</f>
        <v>0</v>
      </c>
      <c r="P79" s="488"/>
      <c r="Q79" s="486"/>
      <c r="R79" s="486"/>
      <c r="S79" s="486"/>
      <c r="T79" s="487"/>
    </row>
    <row r="80" spans="2:20" hidden="1" outlineLevel="1" x14ac:dyDescent="0.25">
      <c r="B80" s="304" t="s">
        <v>604</v>
      </c>
      <c r="C80" s="321"/>
      <c r="D80" s="321"/>
      <c r="E80" s="321"/>
      <c r="F80" s="322"/>
      <c r="G80" s="365">
        <f>IF(G76&gt;0,-K90,0)</f>
        <v>0</v>
      </c>
      <c r="H80" s="329"/>
      <c r="I80" s="329"/>
      <c r="J80" s="329"/>
      <c r="K80" s="329"/>
      <c r="L80" s="329"/>
      <c r="M80" s="329"/>
      <c r="N80" s="968"/>
      <c r="P80" s="488"/>
      <c r="Q80" s="486"/>
      <c r="R80" s="486"/>
      <c r="S80" s="486"/>
      <c r="T80" s="487"/>
    </row>
    <row r="81" spans="2:20" ht="15.75" hidden="1" outlineLevel="1" thickBot="1" x14ac:dyDescent="0.3">
      <c r="B81" s="969" t="s">
        <v>602</v>
      </c>
      <c r="C81" s="970"/>
      <c r="D81" s="970"/>
      <c r="E81" s="970"/>
      <c r="F81" s="970"/>
      <c r="G81" s="971">
        <f>IF(G76&gt;0,G79-K90,G79)</f>
        <v>0</v>
      </c>
      <c r="H81" s="329"/>
      <c r="I81" s="329"/>
      <c r="J81" s="329"/>
      <c r="K81" s="329"/>
      <c r="L81" s="329"/>
      <c r="M81" s="329"/>
      <c r="N81" s="968"/>
      <c r="P81" s="488"/>
      <c r="Q81" s="486"/>
      <c r="R81" s="486"/>
      <c r="S81" s="486"/>
      <c r="T81" s="487"/>
    </row>
    <row r="82" spans="2:20" ht="15.75" collapsed="1" thickBot="1" x14ac:dyDescent="0.3">
      <c r="G82" s="460"/>
      <c r="P82" s="488"/>
      <c r="Q82" s="486"/>
      <c r="R82" s="486"/>
      <c r="S82" s="486"/>
      <c r="T82" s="487"/>
    </row>
    <row r="83" spans="2:20" x14ac:dyDescent="0.25">
      <c r="B83" s="1329" t="str">
        <f>UPPER(Summary!E7) &amp; " PROPOSED DEBT"</f>
        <v xml:space="preserve"> PROPOSED DEBT</v>
      </c>
      <c r="C83" s="1330"/>
      <c r="D83" s="1330"/>
      <c r="E83" s="1330"/>
      <c r="F83" s="1330"/>
      <c r="G83" s="1330"/>
      <c r="H83" s="1330"/>
      <c r="I83" s="1330"/>
      <c r="J83" s="1330"/>
      <c r="K83" s="1330"/>
      <c r="L83" s="1330"/>
      <c r="M83" s="1330"/>
      <c r="N83" s="1331"/>
      <c r="P83" s="488"/>
      <c r="Q83" s="486"/>
      <c r="R83" s="486"/>
      <c r="S83" s="486"/>
      <c r="T83" s="487"/>
    </row>
    <row r="84" spans="2:20" x14ac:dyDescent="0.25">
      <c r="B84" s="1190"/>
      <c r="C84" s="1191"/>
      <c r="D84" s="1191"/>
      <c r="E84" s="1191"/>
      <c r="F84" s="1191"/>
      <c r="G84" s="1191"/>
      <c r="H84" s="1191"/>
      <c r="I84" s="1191"/>
      <c r="J84" s="1192"/>
      <c r="K84" s="249" t="s">
        <v>280</v>
      </c>
      <c r="L84" s="239" t="s">
        <v>452</v>
      </c>
      <c r="M84" s="242" t="s">
        <v>451</v>
      </c>
      <c r="N84" s="248" t="s">
        <v>450</v>
      </c>
      <c r="P84" s="488"/>
      <c r="Q84" s="486"/>
      <c r="R84" s="486"/>
      <c r="S84" s="486"/>
      <c r="T84" s="487"/>
    </row>
    <row r="85" spans="2:20" ht="15" customHeight="1" x14ac:dyDescent="0.25">
      <c r="B85" s="1190" t="s">
        <v>790</v>
      </c>
      <c r="C85" s="1191"/>
      <c r="D85" s="1191"/>
      <c r="E85" s="1191"/>
      <c r="F85" s="1191"/>
      <c r="G85" s="1191"/>
      <c r="H85" s="1191"/>
      <c r="I85" s="1191"/>
      <c r="J85" s="1192"/>
      <c r="K85" s="236"/>
      <c r="L85" s="366"/>
      <c r="M85" s="637"/>
      <c r="N85" s="367"/>
      <c r="P85" s="488"/>
      <c r="Q85" s="486"/>
      <c r="R85" s="486"/>
      <c r="S85" s="486"/>
      <c r="T85" s="487"/>
    </row>
    <row r="86" spans="2:20" ht="15" customHeight="1" x14ac:dyDescent="0.25">
      <c r="B86" s="1190" t="s">
        <v>759</v>
      </c>
      <c r="C86" s="1191"/>
      <c r="D86" s="1191"/>
      <c r="E86" s="1191"/>
      <c r="F86" s="1191"/>
      <c r="G86" s="1191"/>
      <c r="H86" s="1191"/>
      <c r="I86" s="1191"/>
      <c r="J86" s="1192"/>
      <c r="K86" s="972"/>
      <c r="L86" s="972"/>
      <c r="M86" s="637"/>
      <c r="N86" s="973"/>
      <c r="P86" s="488"/>
      <c r="Q86" s="486"/>
      <c r="R86" s="486"/>
      <c r="S86" s="486"/>
      <c r="T86" s="487"/>
    </row>
    <row r="87" spans="2:20" x14ac:dyDescent="0.25">
      <c r="B87" s="1190" t="s">
        <v>65</v>
      </c>
      <c r="C87" s="1191"/>
      <c r="D87" s="1191"/>
      <c r="E87" s="1191"/>
      <c r="F87" s="1191"/>
      <c r="G87" s="1191"/>
      <c r="H87" s="1191"/>
      <c r="I87" s="1191"/>
      <c r="J87" s="1192"/>
      <c r="K87" s="637"/>
      <c r="L87" s="366"/>
      <c r="M87" s="637"/>
      <c r="N87" s="436"/>
      <c r="P87" s="488"/>
      <c r="Q87" s="486"/>
      <c r="R87" s="486"/>
      <c r="S87" s="486"/>
      <c r="T87" s="487"/>
    </row>
    <row r="88" spans="2:20" x14ac:dyDescent="0.25">
      <c r="B88" s="1190" t="s">
        <v>279</v>
      </c>
      <c r="C88" s="1191"/>
      <c r="D88" s="1191"/>
      <c r="E88" s="1191"/>
      <c r="F88" s="1191"/>
      <c r="G88" s="1191"/>
      <c r="H88" s="1191"/>
      <c r="I88" s="1191"/>
      <c r="J88" s="1192"/>
      <c r="K88" s="244"/>
      <c r="L88" s="199"/>
      <c r="M88" s="672"/>
      <c r="N88" s="246"/>
      <c r="P88" s="488"/>
      <c r="Q88" s="486"/>
      <c r="R88" s="486"/>
      <c r="S88" s="486"/>
      <c r="T88" s="487"/>
    </row>
    <row r="89" spans="2:20" x14ac:dyDescent="0.25">
      <c r="B89" s="1190" t="s">
        <v>778</v>
      </c>
      <c r="C89" s="1191"/>
      <c r="D89" s="1191"/>
      <c r="E89" s="1191"/>
      <c r="F89" s="1191"/>
      <c r="G89" s="1191"/>
      <c r="H89" s="1191"/>
      <c r="I89" s="1191"/>
      <c r="J89" s="1192"/>
      <c r="K89" s="974">
        <f>ROUND(MIN(G42,N42),-3)</f>
        <v>0</v>
      </c>
      <c r="L89" s="975">
        <f>ROUND(MIN(G81,N77),-3)</f>
        <v>0</v>
      </c>
      <c r="M89" s="976">
        <f>ROUND(IF(M86="x",MIN(G56,G65,N61),MIN(G56,N56)),-3)</f>
        <v>0</v>
      </c>
      <c r="N89" s="977" t="s">
        <v>762</v>
      </c>
      <c r="P89" s="488"/>
      <c r="Q89" s="486"/>
      <c r="R89" s="486"/>
      <c r="S89" s="486"/>
      <c r="T89" s="487"/>
    </row>
    <row r="90" spans="2:20" x14ac:dyDescent="0.25">
      <c r="B90" s="1190" t="s">
        <v>103</v>
      </c>
      <c r="C90" s="1191"/>
      <c r="D90" s="1191"/>
      <c r="E90" s="1191"/>
      <c r="F90" s="1191"/>
      <c r="G90" s="1191"/>
      <c r="H90" s="1191"/>
      <c r="I90" s="1191"/>
      <c r="J90" s="1192"/>
      <c r="K90" s="974">
        <f>IF(OR(K85="x",K86="x"),IF(K88&gt;0,K88,K89),0)</f>
        <v>0</v>
      </c>
      <c r="L90" s="975">
        <f>IF(OR(L85="x",L86="x"),IF(L88&gt;0,L88,L89),0)</f>
        <v>0</v>
      </c>
      <c r="M90" s="976">
        <f>IF(OR(M85="x",M86="x"),IF(M88&gt;0,M88,M89),0)</f>
        <v>0</v>
      </c>
      <c r="N90" s="978">
        <f>IF(OR(N85="x",N86="x"),IF(N88&gt;0,N88,N89),0)</f>
        <v>0</v>
      </c>
      <c r="P90" s="488"/>
      <c r="Q90" s="486"/>
      <c r="R90" s="486"/>
      <c r="S90" s="486"/>
      <c r="T90" s="487"/>
    </row>
    <row r="91" spans="2:20" x14ac:dyDescent="0.25">
      <c r="B91" s="1190" t="s">
        <v>60</v>
      </c>
      <c r="C91" s="1191"/>
      <c r="D91" s="1191"/>
      <c r="E91" s="1191"/>
      <c r="F91" s="1191"/>
      <c r="G91" s="1191"/>
      <c r="H91" s="1191"/>
      <c r="I91" s="1191"/>
      <c r="J91" s="1192"/>
      <c r="K91" s="471">
        <f>N39</f>
        <v>7.0000000000000007E-2</v>
      </c>
      <c r="L91" s="472">
        <f>N74</f>
        <v>7.0000000000000007E-2</v>
      </c>
      <c r="M91" s="471">
        <f>N54</f>
        <v>7.0000000000000007E-2</v>
      </c>
      <c r="N91" s="245"/>
      <c r="P91" s="488"/>
      <c r="Q91" s="486"/>
      <c r="R91" s="486"/>
      <c r="S91" s="486"/>
      <c r="T91" s="487"/>
    </row>
    <row r="92" spans="2:20" x14ac:dyDescent="0.25">
      <c r="B92" s="1511" t="s">
        <v>760</v>
      </c>
      <c r="C92" s="1512"/>
      <c r="D92" s="1512"/>
      <c r="E92" s="1512"/>
      <c r="F92" s="1512"/>
      <c r="G92" s="1512"/>
      <c r="H92" s="1512"/>
      <c r="I92" s="1512"/>
      <c r="J92" s="1513"/>
      <c r="K92" s="641" t="s">
        <v>761</v>
      </c>
      <c r="L92" s="642" t="s">
        <v>761</v>
      </c>
      <c r="M92" s="640" t="str">
        <f>IF(M86="x","Compounding","Fixed")</f>
        <v>Fixed</v>
      </c>
      <c r="N92" s="979" t="s">
        <v>761</v>
      </c>
      <c r="P92" s="488"/>
      <c r="Q92" s="486"/>
      <c r="R92" s="486"/>
      <c r="S92" s="486"/>
      <c r="T92" s="487"/>
    </row>
    <row r="93" spans="2:20" x14ac:dyDescent="0.25">
      <c r="B93" s="1190" t="s">
        <v>61</v>
      </c>
      <c r="C93" s="1191"/>
      <c r="D93" s="1191"/>
      <c r="E93" s="1191"/>
      <c r="F93" s="1191"/>
      <c r="G93" s="1191"/>
      <c r="H93" s="1191"/>
      <c r="I93" s="1191"/>
      <c r="J93" s="1192"/>
      <c r="K93" s="470">
        <f>N41</f>
        <v>30</v>
      </c>
      <c r="L93" s="469">
        <f>N75</f>
        <v>26</v>
      </c>
      <c r="M93" s="470">
        <f>N55</f>
        <v>0</v>
      </c>
      <c r="N93" s="246"/>
      <c r="P93" s="488"/>
      <c r="Q93" s="486"/>
      <c r="R93" s="486"/>
      <c r="S93" s="486"/>
      <c r="T93" s="487"/>
    </row>
    <row r="94" spans="2:20" x14ac:dyDescent="0.25">
      <c r="B94" s="1190" t="s">
        <v>104</v>
      </c>
      <c r="C94" s="1191"/>
      <c r="D94" s="1191"/>
      <c r="E94" s="1191"/>
      <c r="F94" s="1191"/>
      <c r="G94" s="1191"/>
      <c r="H94" s="1191"/>
      <c r="I94" s="1191"/>
      <c r="J94" s="1192"/>
      <c r="K94" s="243"/>
      <c r="L94" s="237"/>
      <c r="M94" s="243"/>
      <c r="N94" s="246"/>
      <c r="P94" s="488"/>
      <c r="Q94" s="486"/>
      <c r="R94" s="486"/>
      <c r="S94" s="486"/>
      <c r="T94" s="487"/>
    </row>
    <row r="95" spans="2:20" x14ac:dyDescent="0.25">
      <c r="B95" s="1190" t="s">
        <v>757</v>
      </c>
      <c r="C95" s="1191"/>
      <c r="D95" s="1191"/>
      <c r="E95" s="1191"/>
      <c r="F95" s="1191"/>
      <c r="G95" s="1191"/>
      <c r="H95" s="1191"/>
      <c r="I95" s="1191"/>
      <c r="J95" s="1192"/>
      <c r="K95" s="972" t="s">
        <v>762</v>
      </c>
      <c r="L95" s="972" t="s">
        <v>762</v>
      </c>
      <c r="M95" s="636" t="str">
        <f>IF(M86="x",G64,"")</f>
        <v/>
      </c>
      <c r="N95" s="973"/>
      <c r="P95" s="488"/>
      <c r="Q95" s="486"/>
      <c r="R95" s="486"/>
      <c r="S95" s="486"/>
      <c r="T95" s="487"/>
    </row>
    <row r="96" spans="2:20" x14ac:dyDescent="0.25">
      <c r="B96" s="1190" t="s">
        <v>442</v>
      </c>
      <c r="C96" s="1191"/>
      <c r="D96" s="1191"/>
      <c r="E96" s="1191"/>
      <c r="F96" s="1191"/>
      <c r="G96" s="1191"/>
      <c r="H96" s="1191"/>
      <c r="I96" s="1191"/>
      <c r="J96" s="1192"/>
      <c r="K96" s="243"/>
      <c r="L96" s="237"/>
      <c r="M96" s="244">
        <f>IF(N55=0,M94*12,0)</f>
        <v>0</v>
      </c>
      <c r="N96" s="246"/>
      <c r="P96" s="488"/>
      <c r="Q96" s="486"/>
      <c r="R96" s="486"/>
      <c r="S96" s="486"/>
      <c r="T96" s="487"/>
    </row>
    <row r="97" spans="2:20" x14ac:dyDescent="0.25">
      <c r="B97" s="1190" t="s">
        <v>105</v>
      </c>
      <c r="C97" s="1191"/>
      <c r="D97" s="1191"/>
      <c r="E97" s="1191"/>
      <c r="F97" s="1191"/>
      <c r="G97" s="1191"/>
      <c r="H97" s="1191"/>
      <c r="I97" s="1191"/>
      <c r="J97" s="1192"/>
      <c r="K97" s="976">
        <f>IF(K90&gt;0,-PMT(K91/12,K93*12,K90,)*12,)</f>
        <v>0</v>
      </c>
      <c r="L97" s="975">
        <f>IF(L90&gt;0,-PMT(L91/12,L93*12,L90,)*12,)</f>
        <v>0</v>
      </c>
      <c r="M97" s="976">
        <f>IF(M93=0,M90*M91,IF(M90&gt;0,-PMT(M91/12,M93*12,M90,)*12,))</f>
        <v>0</v>
      </c>
      <c r="N97" s="978">
        <f>IF(N90&gt;0,-PMT(N91/12,N93*12,N90,)*12,)</f>
        <v>0</v>
      </c>
      <c r="P97" s="488"/>
      <c r="Q97" s="486"/>
      <c r="R97" s="486"/>
      <c r="S97" s="486"/>
      <c r="T97" s="487"/>
    </row>
    <row r="98" spans="2:20" ht="15.75" thickBot="1" x14ac:dyDescent="0.3">
      <c r="B98" s="1237" t="s">
        <v>106</v>
      </c>
      <c r="C98" s="1238"/>
      <c r="D98" s="1238"/>
      <c r="E98" s="1238"/>
      <c r="F98" s="1238"/>
      <c r="G98" s="1238"/>
      <c r="H98" s="1238"/>
      <c r="I98" s="1238"/>
      <c r="J98" s="1239"/>
      <c r="K98" s="241"/>
      <c r="L98" s="238"/>
      <c r="M98" s="241"/>
      <c r="N98" s="247"/>
      <c r="P98" s="488"/>
      <c r="Q98" s="486"/>
      <c r="R98" s="486"/>
      <c r="S98" s="486"/>
      <c r="T98" s="487"/>
    </row>
    <row r="99" spans="2:20" ht="15.75" thickBot="1" x14ac:dyDescent="0.3">
      <c r="B99" s="2"/>
      <c r="C99" s="2"/>
      <c r="D99" s="2"/>
      <c r="E99" s="2"/>
      <c r="F99" s="2"/>
      <c r="G99" s="2"/>
      <c r="P99" s="488"/>
      <c r="Q99" s="486"/>
      <c r="R99" s="486"/>
      <c r="S99" s="486"/>
      <c r="T99" s="487"/>
    </row>
    <row r="100" spans="2:20" x14ac:dyDescent="0.25">
      <c r="B100" s="1329" t="str">
        <f>UPPER(Summary!E7) &amp; " FLOW OF FUNDS"</f>
        <v xml:space="preserve"> FLOW OF FUNDS</v>
      </c>
      <c r="C100" s="1330"/>
      <c r="D100" s="1330"/>
      <c r="E100" s="1330"/>
      <c r="F100" s="1330"/>
      <c r="G100" s="1330"/>
      <c r="H100" s="1330"/>
      <c r="I100" s="1330"/>
      <c r="J100" s="1330"/>
      <c r="K100" s="1330"/>
      <c r="L100" s="1330"/>
      <c r="M100" s="1330"/>
      <c r="N100" s="1331"/>
      <c r="P100" s="488"/>
      <c r="Q100" s="486"/>
      <c r="R100" s="486"/>
      <c r="S100" s="486"/>
      <c r="T100" s="487"/>
    </row>
    <row r="101" spans="2:20" x14ac:dyDescent="0.25">
      <c r="B101" s="980"/>
      <c r="C101" s="981"/>
      <c r="D101" s="981"/>
      <c r="H101" s="1508" t="s">
        <v>658</v>
      </c>
      <c r="I101" s="1509"/>
      <c r="J101" s="1509"/>
      <c r="K101" s="1509"/>
      <c r="L101" s="1509"/>
      <c r="M101" s="1509"/>
      <c r="N101" s="1510"/>
      <c r="P101" s="488"/>
      <c r="Q101" s="486"/>
      <c r="R101" s="486"/>
      <c r="S101" s="486"/>
      <c r="T101" s="487"/>
    </row>
    <row r="102" spans="2:20" ht="24.75" x14ac:dyDescent="0.25">
      <c r="B102" s="1474"/>
      <c r="C102" s="1475"/>
      <c r="D102" s="1475"/>
      <c r="E102" s="1475"/>
      <c r="F102" s="1475"/>
      <c r="G102" s="1476"/>
      <c r="H102" s="982" t="s">
        <v>704</v>
      </c>
      <c r="I102" s="983" t="s">
        <v>612</v>
      </c>
      <c r="J102" s="983" t="s">
        <v>659</v>
      </c>
      <c r="K102" s="983" t="s">
        <v>660</v>
      </c>
      <c r="L102" s="983" t="s">
        <v>661</v>
      </c>
      <c r="M102" s="983" t="s">
        <v>710</v>
      </c>
      <c r="N102" s="984" t="s">
        <v>662</v>
      </c>
      <c r="P102" s="488"/>
      <c r="Q102" s="486"/>
      <c r="R102" s="486"/>
      <c r="S102" s="486"/>
      <c r="T102" s="487"/>
    </row>
    <row r="103" spans="2:20" x14ac:dyDescent="0.25">
      <c r="B103" s="1474"/>
      <c r="C103" s="1475"/>
      <c r="D103" s="1475"/>
      <c r="E103" s="1475"/>
      <c r="F103" s="1475"/>
      <c r="G103" s="1476"/>
      <c r="H103" s="982" t="s">
        <v>703</v>
      </c>
      <c r="I103" s="998"/>
      <c r="J103" s="998"/>
      <c r="K103" s="998"/>
      <c r="L103" s="998"/>
      <c r="M103" s="999"/>
      <c r="N103" s="1000"/>
      <c r="P103" s="650"/>
      <c r="Q103" s="486"/>
      <c r="R103" s="486"/>
      <c r="S103" s="486"/>
      <c r="T103" s="487"/>
    </row>
    <row r="104" spans="2:20" ht="15" customHeight="1" x14ac:dyDescent="0.25">
      <c r="B104" s="1474" t="s">
        <v>663</v>
      </c>
      <c r="C104" s="1475"/>
      <c r="D104" s="1475"/>
      <c r="E104" s="1475"/>
      <c r="F104" s="1475"/>
      <c r="G104" s="1476"/>
      <c r="H104" s="982" t="s">
        <v>599</v>
      </c>
      <c r="I104" s="972"/>
      <c r="J104" s="985"/>
      <c r="K104" s="985"/>
      <c r="L104" s="985"/>
      <c r="M104" s="986"/>
      <c r="N104" s="973"/>
      <c r="P104" s="488"/>
      <c r="Q104" s="486"/>
      <c r="R104" s="486"/>
      <c r="S104" s="486"/>
      <c r="T104" s="487"/>
    </row>
    <row r="105" spans="2:20" x14ac:dyDescent="0.25">
      <c r="B105" s="1462" t="str">
        <f>IF(B4&lt;&gt;"",B4,"")</f>
        <v/>
      </c>
      <c r="C105" s="1463"/>
      <c r="D105" s="1463"/>
      <c r="E105" s="1463"/>
      <c r="F105" s="1463"/>
      <c r="G105" s="1464"/>
      <c r="H105" s="987" t="str">
        <f>IF(F4&gt;0,F4,"")</f>
        <v/>
      </c>
      <c r="I105" s="389"/>
      <c r="J105" s="411"/>
      <c r="K105" s="411"/>
      <c r="L105" s="411"/>
      <c r="M105" s="413"/>
      <c r="N105" s="412"/>
      <c r="P105" s="488"/>
      <c r="Q105" s="486"/>
      <c r="R105" s="486"/>
      <c r="S105" s="486"/>
      <c r="T105" s="487"/>
    </row>
    <row r="106" spans="2:20" x14ac:dyDescent="0.25">
      <c r="B106" s="1462" t="str">
        <f>IF(B5&lt;&gt;"",B5,"")</f>
        <v/>
      </c>
      <c r="C106" s="1463"/>
      <c r="D106" s="1463"/>
      <c r="E106" s="1463"/>
      <c r="F106" s="1463"/>
      <c r="G106" s="1464"/>
      <c r="H106" s="987" t="str">
        <f>IF(F5&gt;0,F5,"")</f>
        <v/>
      </c>
      <c r="I106" s="389"/>
      <c r="J106" s="411"/>
      <c r="K106" s="411"/>
      <c r="L106" s="411"/>
      <c r="M106" s="413"/>
      <c r="N106" s="412"/>
      <c r="P106" s="488"/>
      <c r="Q106" s="486"/>
      <c r="R106" s="486"/>
      <c r="S106" s="486"/>
      <c r="T106" s="487"/>
    </row>
    <row r="107" spans="2:20" x14ac:dyDescent="0.25">
      <c r="B107" s="1462" t="str">
        <f>IF(B6&lt;&gt;"",B6,"")</f>
        <v/>
      </c>
      <c r="C107" s="1463"/>
      <c r="D107" s="1463"/>
      <c r="E107" s="1463"/>
      <c r="F107" s="1463"/>
      <c r="G107" s="1464"/>
      <c r="H107" s="987" t="str">
        <f>IF(F6&gt;0,F6,"")</f>
        <v/>
      </c>
      <c r="I107" s="389"/>
      <c r="J107" s="411"/>
      <c r="K107" s="411"/>
      <c r="L107" s="411"/>
      <c r="M107" s="413"/>
      <c r="N107" s="412"/>
      <c r="P107" s="488"/>
      <c r="Q107" s="486"/>
      <c r="R107" s="486"/>
      <c r="S107" s="486"/>
      <c r="T107" s="487"/>
    </row>
    <row r="108" spans="2:20" x14ac:dyDescent="0.25">
      <c r="B108" s="1462" t="str">
        <f>IF(B7&lt;&gt;"",B7,"")</f>
        <v/>
      </c>
      <c r="C108" s="1463"/>
      <c r="D108" s="1463"/>
      <c r="E108" s="1463"/>
      <c r="F108" s="1463"/>
      <c r="G108" s="1464"/>
      <c r="H108" s="987" t="str">
        <f>IF(F7&gt;0,F7,"")</f>
        <v/>
      </c>
      <c r="I108" s="389"/>
      <c r="J108" s="411"/>
      <c r="K108" s="411"/>
      <c r="L108" s="411"/>
      <c r="M108" s="413"/>
      <c r="N108" s="412"/>
      <c r="P108" s="488"/>
      <c r="Q108" s="486"/>
      <c r="R108" s="486"/>
      <c r="S108" s="486"/>
      <c r="T108" s="487"/>
    </row>
    <row r="109" spans="2:20" ht="24.75" customHeight="1" x14ac:dyDescent="0.25">
      <c r="B109" s="1474" t="s">
        <v>664</v>
      </c>
      <c r="C109" s="1475"/>
      <c r="D109" s="1475"/>
      <c r="E109" s="1475"/>
      <c r="F109" s="1475"/>
      <c r="G109" s="1476"/>
      <c r="H109" s="982" t="s">
        <v>599</v>
      </c>
      <c r="I109" s="983" t="str">
        <f>I102</f>
        <v>Closing</v>
      </c>
      <c r="J109" s="983" t="str">
        <f>J102</f>
        <v>Construction Period</v>
      </c>
      <c r="K109" s="983" t="str">
        <f>K102</f>
        <v>Post Construction</v>
      </c>
      <c r="L109" s="983" t="str">
        <f t="shared" ref="L109:N109" si="0">L102</f>
        <v>Stabilization</v>
      </c>
      <c r="M109" s="983" t="str">
        <f t="shared" si="0"/>
        <v>Form 8609</v>
      </c>
      <c r="N109" s="984" t="str">
        <f t="shared" si="0"/>
        <v>From
Cash Flow</v>
      </c>
      <c r="P109" s="488"/>
      <c r="Q109" s="486"/>
      <c r="R109" s="486"/>
      <c r="S109" s="486"/>
      <c r="T109" s="487"/>
    </row>
    <row r="110" spans="2:20" x14ac:dyDescent="0.25">
      <c r="B110" s="1462" t="str">
        <f t="shared" ref="B110:B126" si="1">IF(B12&lt;&gt;"",B12,"")</f>
        <v/>
      </c>
      <c r="C110" s="1463"/>
      <c r="D110" s="1463"/>
      <c r="E110" s="1463"/>
      <c r="F110" s="1463"/>
      <c r="G110" s="1464"/>
      <c r="H110" s="987">
        <f t="shared" ref="H110:H126" si="2">F12</f>
        <v>0</v>
      </c>
      <c r="I110" s="389"/>
      <c r="J110" s="411"/>
      <c r="K110" s="411"/>
      <c r="L110" s="411"/>
      <c r="M110" s="413"/>
      <c r="N110" s="412"/>
      <c r="P110" s="488">
        <f t="shared" ref="P110:P126" si="3">H110-SUM(I110:N110)</f>
        <v>0</v>
      </c>
      <c r="Q110" s="486"/>
      <c r="R110" s="486"/>
      <c r="S110" s="486"/>
      <c r="T110" s="487"/>
    </row>
    <row r="111" spans="2:20" x14ac:dyDescent="0.25">
      <c r="B111" s="1462" t="str">
        <f t="shared" si="1"/>
        <v/>
      </c>
      <c r="C111" s="1463"/>
      <c r="D111" s="1463"/>
      <c r="E111" s="1463"/>
      <c r="F111" s="1463"/>
      <c r="G111" s="1464"/>
      <c r="H111" s="987">
        <f t="shared" si="2"/>
        <v>0</v>
      </c>
      <c r="I111" s="389"/>
      <c r="J111" s="411"/>
      <c r="K111" s="411"/>
      <c r="L111" s="411"/>
      <c r="M111" s="413"/>
      <c r="N111" s="414"/>
      <c r="P111" s="488">
        <f t="shared" si="3"/>
        <v>0</v>
      </c>
      <c r="Q111" s="486"/>
      <c r="R111" s="486"/>
      <c r="S111" s="486"/>
      <c r="T111" s="487"/>
    </row>
    <row r="112" spans="2:20" x14ac:dyDescent="0.25">
      <c r="B112" s="1462" t="str">
        <f t="shared" si="1"/>
        <v/>
      </c>
      <c r="C112" s="1463"/>
      <c r="D112" s="1463"/>
      <c r="E112" s="1463"/>
      <c r="F112" s="1463"/>
      <c r="G112" s="1464"/>
      <c r="H112" s="987">
        <f t="shared" si="2"/>
        <v>0</v>
      </c>
      <c r="I112" s="389"/>
      <c r="J112" s="411"/>
      <c r="K112" s="411"/>
      <c r="L112" s="411"/>
      <c r="M112" s="413"/>
      <c r="N112" s="412"/>
      <c r="P112" s="488">
        <f t="shared" si="3"/>
        <v>0</v>
      </c>
      <c r="Q112" s="486"/>
      <c r="R112" s="486"/>
      <c r="S112" s="486"/>
      <c r="T112" s="487"/>
    </row>
    <row r="113" spans="2:20" x14ac:dyDescent="0.25">
      <c r="B113" s="1462" t="str">
        <f t="shared" si="1"/>
        <v/>
      </c>
      <c r="C113" s="1463"/>
      <c r="D113" s="1463"/>
      <c r="E113" s="1463"/>
      <c r="F113" s="1463"/>
      <c r="G113" s="1464"/>
      <c r="H113" s="987">
        <f t="shared" si="2"/>
        <v>0</v>
      </c>
      <c r="I113" s="389"/>
      <c r="J113" s="411"/>
      <c r="K113" s="411"/>
      <c r="L113" s="411"/>
      <c r="M113" s="413"/>
      <c r="N113" s="412"/>
      <c r="P113" s="488">
        <f t="shared" si="3"/>
        <v>0</v>
      </c>
      <c r="Q113" s="486"/>
      <c r="R113" s="486"/>
      <c r="S113" s="486"/>
      <c r="T113" s="487"/>
    </row>
    <row r="114" spans="2:20" x14ac:dyDescent="0.25">
      <c r="B114" s="1462" t="str">
        <f t="shared" si="1"/>
        <v/>
      </c>
      <c r="C114" s="1463"/>
      <c r="D114" s="1463"/>
      <c r="E114" s="1463"/>
      <c r="F114" s="1463"/>
      <c r="G114" s="1464"/>
      <c r="H114" s="987">
        <f t="shared" si="2"/>
        <v>0</v>
      </c>
      <c r="I114" s="389"/>
      <c r="J114" s="411"/>
      <c r="K114" s="411"/>
      <c r="L114" s="411"/>
      <c r="M114" s="413"/>
      <c r="N114" s="412"/>
      <c r="P114" s="488">
        <f t="shared" si="3"/>
        <v>0</v>
      </c>
      <c r="Q114" s="486"/>
      <c r="R114" s="486"/>
      <c r="S114" s="486"/>
      <c r="T114" s="487"/>
    </row>
    <row r="115" spans="2:20" x14ac:dyDescent="0.25">
      <c r="B115" s="1462" t="str">
        <f t="shared" si="1"/>
        <v/>
      </c>
      <c r="C115" s="1463"/>
      <c r="D115" s="1463"/>
      <c r="E115" s="1463"/>
      <c r="F115" s="1463"/>
      <c r="G115" s="1464"/>
      <c r="H115" s="987">
        <f t="shared" si="2"/>
        <v>0</v>
      </c>
      <c r="I115" s="389"/>
      <c r="J115" s="411"/>
      <c r="K115" s="411"/>
      <c r="L115" s="411"/>
      <c r="M115" s="413"/>
      <c r="N115" s="412"/>
      <c r="P115" s="488">
        <f t="shared" si="3"/>
        <v>0</v>
      </c>
      <c r="Q115" s="486"/>
      <c r="R115" s="486"/>
      <c r="S115" s="486"/>
      <c r="T115" s="487"/>
    </row>
    <row r="116" spans="2:20" x14ac:dyDescent="0.25">
      <c r="B116" s="1462" t="str">
        <f t="shared" si="1"/>
        <v/>
      </c>
      <c r="C116" s="1463"/>
      <c r="D116" s="1463"/>
      <c r="E116" s="1463"/>
      <c r="F116" s="1463"/>
      <c r="G116" s="1464"/>
      <c r="H116" s="987">
        <f t="shared" si="2"/>
        <v>0</v>
      </c>
      <c r="I116" s="389"/>
      <c r="J116" s="411"/>
      <c r="K116" s="411"/>
      <c r="L116" s="416"/>
      <c r="M116" s="413"/>
      <c r="N116" s="412"/>
      <c r="P116" s="488">
        <f t="shared" si="3"/>
        <v>0</v>
      </c>
      <c r="Q116" s="486"/>
      <c r="R116" s="486"/>
      <c r="S116" s="486"/>
      <c r="T116" s="487"/>
    </row>
    <row r="117" spans="2:20" x14ac:dyDescent="0.25">
      <c r="B117" s="1462" t="str">
        <f t="shared" si="1"/>
        <v/>
      </c>
      <c r="C117" s="1463"/>
      <c r="D117" s="1463"/>
      <c r="E117" s="1463"/>
      <c r="F117" s="1463"/>
      <c r="G117" s="1464"/>
      <c r="H117" s="987">
        <f t="shared" si="2"/>
        <v>0</v>
      </c>
      <c r="I117" s="389"/>
      <c r="J117" s="411"/>
      <c r="K117" s="411"/>
      <c r="L117" s="416"/>
      <c r="M117" s="413"/>
      <c r="N117" s="412"/>
      <c r="P117" s="488">
        <f t="shared" si="3"/>
        <v>0</v>
      </c>
      <c r="Q117" s="486"/>
      <c r="R117" s="486"/>
      <c r="S117" s="486"/>
      <c r="T117" s="487"/>
    </row>
    <row r="118" spans="2:20" x14ac:dyDescent="0.25">
      <c r="B118" s="1462" t="str">
        <f t="shared" si="1"/>
        <v/>
      </c>
      <c r="C118" s="1463"/>
      <c r="D118" s="1463"/>
      <c r="E118" s="1463"/>
      <c r="F118" s="1463"/>
      <c r="G118" s="1464"/>
      <c r="H118" s="987">
        <f t="shared" si="2"/>
        <v>0</v>
      </c>
      <c r="I118" s="389"/>
      <c r="J118" s="411"/>
      <c r="K118" s="411"/>
      <c r="L118" s="411"/>
      <c r="M118" s="413"/>
      <c r="N118" s="412"/>
      <c r="P118" s="488">
        <f t="shared" si="3"/>
        <v>0</v>
      </c>
      <c r="Q118" s="486"/>
      <c r="R118" s="486"/>
      <c r="S118" s="486"/>
      <c r="T118" s="487"/>
    </row>
    <row r="119" spans="2:20" x14ac:dyDescent="0.25">
      <c r="B119" s="1462" t="str">
        <f t="shared" si="1"/>
        <v/>
      </c>
      <c r="C119" s="1463"/>
      <c r="D119" s="1463"/>
      <c r="E119" s="1463"/>
      <c r="F119" s="1463"/>
      <c r="G119" s="1464"/>
      <c r="H119" s="987">
        <f t="shared" si="2"/>
        <v>0</v>
      </c>
      <c r="I119" s="389"/>
      <c r="J119" s="411"/>
      <c r="K119" s="411"/>
      <c r="L119" s="411"/>
      <c r="M119" s="413"/>
      <c r="N119" s="412"/>
      <c r="P119" s="488">
        <f t="shared" si="3"/>
        <v>0</v>
      </c>
      <c r="Q119" s="486"/>
      <c r="R119" s="486"/>
      <c r="S119" s="486"/>
      <c r="T119" s="487"/>
    </row>
    <row r="120" spans="2:20" x14ac:dyDescent="0.25">
      <c r="B120" s="1462" t="str">
        <f t="shared" si="1"/>
        <v/>
      </c>
      <c r="C120" s="1463"/>
      <c r="D120" s="1463"/>
      <c r="E120" s="1463"/>
      <c r="F120" s="1463"/>
      <c r="G120" s="1464"/>
      <c r="H120" s="987">
        <f t="shared" si="2"/>
        <v>0</v>
      </c>
      <c r="I120" s="389"/>
      <c r="J120" s="411"/>
      <c r="K120" s="411"/>
      <c r="L120" s="411"/>
      <c r="M120" s="413"/>
      <c r="N120" s="412"/>
      <c r="P120" s="488">
        <f t="shared" si="3"/>
        <v>0</v>
      </c>
      <c r="Q120" s="486"/>
      <c r="R120" s="486"/>
      <c r="S120" s="486"/>
      <c r="T120" s="487"/>
    </row>
    <row r="121" spans="2:20" x14ac:dyDescent="0.25">
      <c r="B121" s="1462" t="str">
        <f t="shared" si="1"/>
        <v/>
      </c>
      <c r="C121" s="1463"/>
      <c r="D121" s="1463"/>
      <c r="E121" s="1463"/>
      <c r="F121" s="1463"/>
      <c r="G121" s="1464"/>
      <c r="H121" s="987">
        <f t="shared" si="2"/>
        <v>0</v>
      </c>
      <c r="I121" s="389"/>
      <c r="J121" s="411"/>
      <c r="K121" s="411"/>
      <c r="L121" s="411"/>
      <c r="M121" s="413"/>
      <c r="N121" s="412"/>
      <c r="P121" s="488">
        <f t="shared" si="3"/>
        <v>0</v>
      </c>
      <c r="Q121" s="486"/>
      <c r="R121" s="486"/>
      <c r="S121" s="486"/>
      <c r="T121" s="487"/>
    </row>
    <row r="122" spans="2:20" x14ac:dyDescent="0.25">
      <c r="B122" s="1462" t="str">
        <f t="shared" si="1"/>
        <v/>
      </c>
      <c r="C122" s="1463"/>
      <c r="D122" s="1463"/>
      <c r="E122" s="1463"/>
      <c r="F122" s="1463"/>
      <c r="G122" s="1464"/>
      <c r="H122" s="987">
        <f t="shared" si="2"/>
        <v>0</v>
      </c>
      <c r="I122" s="389"/>
      <c r="J122" s="411"/>
      <c r="K122" s="411"/>
      <c r="L122" s="411"/>
      <c r="M122" s="413"/>
      <c r="N122" s="412"/>
      <c r="P122" s="488">
        <f t="shared" si="3"/>
        <v>0</v>
      </c>
      <c r="Q122" s="486"/>
      <c r="R122" s="486"/>
      <c r="S122" s="486"/>
      <c r="T122" s="487"/>
    </row>
    <row r="123" spans="2:20" x14ac:dyDescent="0.25">
      <c r="B123" s="1462" t="str">
        <f t="shared" si="1"/>
        <v/>
      </c>
      <c r="C123" s="1463"/>
      <c r="D123" s="1463"/>
      <c r="E123" s="1463"/>
      <c r="F123" s="1463"/>
      <c r="G123" s="1464"/>
      <c r="H123" s="987">
        <f t="shared" si="2"/>
        <v>0</v>
      </c>
      <c r="I123" s="389"/>
      <c r="J123" s="411"/>
      <c r="K123" s="411"/>
      <c r="L123" s="411"/>
      <c r="M123" s="413"/>
      <c r="N123" s="412"/>
      <c r="P123" s="488">
        <f t="shared" si="3"/>
        <v>0</v>
      </c>
      <c r="Q123" s="486"/>
      <c r="R123" s="486"/>
      <c r="S123" s="486"/>
      <c r="T123" s="487"/>
    </row>
    <row r="124" spans="2:20" x14ac:dyDescent="0.25">
      <c r="B124" s="1462" t="str">
        <f t="shared" si="1"/>
        <v/>
      </c>
      <c r="C124" s="1463"/>
      <c r="D124" s="1463"/>
      <c r="E124" s="1463"/>
      <c r="F124" s="1463"/>
      <c r="G124" s="1464"/>
      <c r="H124" s="987">
        <f t="shared" si="2"/>
        <v>0</v>
      </c>
      <c r="I124" s="389"/>
      <c r="J124" s="411"/>
      <c r="K124" s="411"/>
      <c r="L124" s="411"/>
      <c r="M124" s="413"/>
      <c r="N124" s="412"/>
      <c r="P124" s="488">
        <f t="shared" si="3"/>
        <v>0</v>
      </c>
      <c r="Q124" s="486"/>
      <c r="R124" s="486"/>
      <c r="S124" s="486"/>
      <c r="T124" s="487"/>
    </row>
    <row r="125" spans="2:20" x14ac:dyDescent="0.25">
      <c r="B125" s="1462" t="str">
        <f t="shared" si="1"/>
        <v>Owner Equity</v>
      </c>
      <c r="C125" s="1463"/>
      <c r="D125" s="1463"/>
      <c r="E125" s="1463"/>
      <c r="F125" s="1463"/>
      <c r="G125" s="1464"/>
      <c r="H125" s="987">
        <f t="shared" si="2"/>
        <v>0</v>
      </c>
      <c r="I125" s="389">
        <f>H125</f>
        <v>0</v>
      </c>
      <c r="J125" s="411"/>
      <c r="K125" s="411"/>
      <c r="L125" s="411"/>
      <c r="M125" s="413"/>
      <c r="N125" s="412"/>
      <c r="P125" s="488">
        <f t="shared" si="3"/>
        <v>0</v>
      </c>
      <c r="Q125" s="486"/>
      <c r="R125" s="486"/>
      <c r="S125" s="486"/>
      <c r="T125" s="487"/>
    </row>
    <row r="126" spans="2:20" x14ac:dyDescent="0.25">
      <c r="B126" s="1462" t="str">
        <f t="shared" si="1"/>
        <v>Cash Required / (Cash Out)</v>
      </c>
      <c r="C126" s="1463"/>
      <c r="D126" s="1463"/>
      <c r="E126" s="1463"/>
      <c r="F126" s="1463"/>
      <c r="G126" s="1464"/>
      <c r="H126" s="987">
        <f t="shared" si="2"/>
        <v>0</v>
      </c>
      <c r="I126" s="389"/>
      <c r="J126" s="411"/>
      <c r="K126" s="411"/>
      <c r="L126" s="411"/>
      <c r="M126" s="413"/>
      <c r="N126" s="412"/>
      <c r="P126" s="488">
        <f t="shared" si="3"/>
        <v>0</v>
      </c>
      <c r="Q126" s="486"/>
      <c r="R126" s="486"/>
      <c r="S126" s="486"/>
      <c r="T126" s="487"/>
    </row>
    <row r="127" spans="2:20" x14ac:dyDescent="0.25">
      <c r="B127" s="1465" t="s">
        <v>667</v>
      </c>
      <c r="C127" s="1466"/>
      <c r="D127" s="1466"/>
      <c r="E127" s="1466"/>
      <c r="F127" s="1466"/>
      <c r="G127" s="1467"/>
      <c r="H127" s="988">
        <f>SUM(H105:H108)</f>
        <v>0</v>
      </c>
      <c r="I127" s="394">
        <f>SUM(I105:I108)</f>
        <v>0</v>
      </c>
      <c r="J127" s="394">
        <f>SUM(J105:J108)</f>
        <v>0</v>
      </c>
      <c r="K127" s="394">
        <f>SUM(K105:K108)</f>
        <v>0</v>
      </c>
      <c r="L127" s="394">
        <f t="shared" ref="L127:N127" si="4">SUM(L105:L108)</f>
        <v>0</v>
      </c>
      <c r="M127" s="394">
        <f t="shared" si="4"/>
        <v>0</v>
      </c>
      <c r="N127" s="989">
        <f t="shared" si="4"/>
        <v>0</v>
      </c>
      <c r="P127" s="488"/>
      <c r="Q127" s="486"/>
      <c r="R127" s="486"/>
      <c r="S127" s="486"/>
      <c r="T127" s="487"/>
    </row>
    <row r="128" spans="2:20" x14ac:dyDescent="0.25">
      <c r="B128" s="1465" t="s">
        <v>668</v>
      </c>
      <c r="C128" s="1466"/>
      <c r="D128" s="1466"/>
      <c r="E128" s="1466"/>
      <c r="F128" s="1466"/>
      <c r="G128" s="1467"/>
      <c r="H128" s="988">
        <f>SUM(H110:H126)</f>
        <v>0</v>
      </c>
      <c r="I128" s="394">
        <f>SUM(I110:I126)</f>
        <v>0</v>
      </c>
      <c r="J128" s="394">
        <f>SUM(J110:J126)</f>
        <v>0</v>
      </c>
      <c r="K128" s="394">
        <f>SUM(K110:K126)</f>
        <v>0</v>
      </c>
      <c r="L128" s="394">
        <f t="shared" ref="L128:N128" si="5">SUM(L110:L126)</f>
        <v>0</v>
      </c>
      <c r="M128" s="394">
        <f t="shared" si="5"/>
        <v>0</v>
      </c>
      <c r="N128" s="989">
        <f t="shared" si="5"/>
        <v>0</v>
      </c>
      <c r="P128" s="488"/>
      <c r="Q128" s="486"/>
      <c r="R128" s="486"/>
      <c r="S128" s="486"/>
      <c r="T128" s="487"/>
    </row>
    <row r="129" spans="2:20" x14ac:dyDescent="0.25">
      <c r="B129" s="1465" t="s">
        <v>669</v>
      </c>
      <c r="C129" s="1466"/>
      <c r="D129" s="1466"/>
      <c r="E129" s="1466"/>
      <c r="F129" s="1466"/>
      <c r="G129" s="1467"/>
      <c r="H129" s="988">
        <f>H127+H128</f>
        <v>0</v>
      </c>
      <c r="I129" s="394">
        <f>I127+I128</f>
        <v>0</v>
      </c>
      <c r="J129" s="394">
        <f>J127+J128</f>
        <v>0</v>
      </c>
      <c r="K129" s="394">
        <f>K127+K128</f>
        <v>0</v>
      </c>
      <c r="L129" s="394">
        <f t="shared" ref="L129:N129" si="6">L127+L128</f>
        <v>0</v>
      </c>
      <c r="M129" s="394">
        <f t="shared" si="6"/>
        <v>0</v>
      </c>
      <c r="N129" s="989">
        <f t="shared" si="6"/>
        <v>0</v>
      </c>
      <c r="P129" s="488"/>
      <c r="Q129" s="486"/>
      <c r="R129" s="486"/>
      <c r="S129" s="486"/>
      <c r="T129" s="487"/>
    </row>
    <row r="130" spans="2:20" x14ac:dyDescent="0.25">
      <c r="B130" s="1471"/>
      <c r="C130" s="1472"/>
      <c r="D130" s="1472"/>
      <c r="E130" s="1472"/>
      <c r="F130" s="1472"/>
      <c r="G130" s="1473"/>
      <c r="H130" s="990"/>
      <c r="I130" s="990"/>
      <c r="J130" s="990"/>
      <c r="K130" s="990"/>
      <c r="L130" s="990"/>
      <c r="M130" s="990"/>
      <c r="N130" s="991"/>
      <c r="P130" s="488"/>
      <c r="Q130" s="486"/>
      <c r="R130" s="486"/>
      <c r="S130" s="486"/>
      <c r="T130" s="487"/>
    </row>
    <row r="131" spans="2:20" ht="24.75" x14ac:dyDescent="0.25">
      <c r="B131" s="1474" t="s">
        <v>38</v>
      </c>
      <c r="C131" s="1475"/>
      <c r="D131" s="1475"/>
      <c r="E131" s="1475"/>
      <c r="F131" s="1475"/>
      <c r="G131" s="1476"/>
      <c r="H131" s="982" t="s">
        <v>599</v>
      </c>
      <c r="I131" s="983" t="s">
        <v>612</v>
      </c>
      <c r="J131" s="983" t="s">
        <v>665</v>
      </c>
      <c r="K131" s="983" t="s">
        <v>666</v>
      </c>
      <c r="L131" s="983" t="str">
        <f>L109</f>
        <v>Stabilization</v>
      </c>
      <c r="M131" s="983">
        <v>8609</v>
      </c>
      <c r="N131" s="984" t="s">
        <v>662</v>
      </c>
      <c r="P131" s="488"/>
      <c r="Q131" s="486"/>
      <c r="R131" s="486"/>
      <c r="S131" s="486"/>
      <c r="T131" s="487"/>
    </row>
    <row r="132" spans="2:20" x14ac:dyDescent="0.25">
      <c r="B132" s="1462" t="str">
        <f>Summary!I16</f>
        <v>Acquisition</v>
      </c>
      <c r="C132" s="1463"/>
      <c r="D132" s="1463"/>
      <c r="E132" s="1463"/>
      <c r="F132" s="1463"/>
      <c r="G132" s="1464"/>
      <c r="H132" s="987">
        <f>Summary!L16</f>
        <v>0</v>
      </c>
      <c r="I132" s="389"/>
      <c r="J132" s="411"/>
      <c r="K132" s="411"/>
      <c r="L132" s="411"/>
      <c r="M132" s="413"/>
      <c r="N132" s="415"/>
      <c r="P132" s="488">
        <f t="shared" ref="P132:P147" si="7">H132-SUM(I132:N132)</f>
        <v>0</v>
      </c>
      <c r="Q132" s="486"/>
      <c r="R132" s="486"/>
      <c r="S132" s="486"/>
      <c r="T132" s="487"/>
    </row>
    <row r="133" spans="2:20" x14ac:dyDescent="0.25">
      <c r="B133" s="1462" t="str">
        <f>Summary!I17</f>
        <v>Construction/Rehabilitation</v>
      </c>
      <c r="C133" s="1463"/>
      <c r="D133" s="1463"/>
      <c r="E133" s="1463"/>
      <c r="F133" s="1463"/>
      <c r="G133" s="1464"/>
      <c r="H133" s="987">
        <f>Summary!L17</f>
        <v>0</v>
      </c>
      <c r="I133" s="389"/>
      <c r="J133" s="411"/>
      <c r="K133" s="411"/>
      <c r="L133" s="411"/>
      <c r="M133" s="413"/>
      <c r="N133" s="415"/>
      <c r="P133" s="488">
        <f t="shared" si="7"/>
        <v>0</v>
      </c>
      <c r="Q133" s="486"/>
      <c r="R133" s="486"/>
      <c r="S133" s="486"/>
      <c r="T133" s="487"/>
    </row>
    <row r="134" spans="2:20" x14ac:dyDescent="0.25">
      <c r="B134" s="1462" t="str">
        <f>Summary!I18</f>
        <v>Construction Contingency</v>
      </c>
      <c r="C134" s="1463"/>
      <c r="D134" s="1463"/>
      <c r="E134" s="1463"/>
      <c r="F134" s="1463"/>
      <c r="G134" s="1464"/>
      <c r="H134" s="987">
        <f>Summary!L18</f>
        <v>0</v>
      </c>
      <c r="I134" s="389"/>
      <c r="J134" s="411"/>
      <c r="K134" s="411"/>
      <c r="L134" s="411"/>
      <c r="M134" s="413"/>
      <c r="N134" s="415"/>
      <c r="P134" s="488">
        <f t="shared" si="7"/>
        <v>0</v>
      </c>
      <c r="Q134" s="486"/>
      <c r="R134" s="486"/>
      <c r="S134" s="486"/>
      <c r="T134" s="487"/>
    </row>
    <row r="135" spans="2:20" x14ac:dyDescent="0.25">
      <c r="B135" s="1462" t="str">
        <f>Summary!I19</f>
        <v>Environmental Abatement</v>
      </c>
      <c r="C135" s="1463"/>
      <c r="D135" s="1463"/>
      <c r="E135" s="1463"/>
      <c r="F135" s="1463"/>
      <c r="G135" s="1464"/>
      <c r="H135" s="987">
        <f>Summary!L19</f>
        <v>0</v>
      </c>
      <c r="I135" s="389"/>
      <c r="J135" s="411"/>
      <c r="K135" s="411"/>
      <c r="L135" s="411"/>
      <c r="M135" s="413"/>
      <c r="N135" s="415"/>
      <c r="P135" s="488">
        <f t="shared" si="7"/>
        <v>0</v>
      </c>
      <c r="Q135" s="486"/>
      <c r="R135" s="486"/>
      <c r="S135" s="486"/>
      <c r="T135" s="487"/>
    </row>
    <row r="136" spans="2:20" x14ac:dyDescent="0.25">
      <c r="B136" s="1462" t="str">
        <f>Summary!I20</f>
        <v>Professional Fees &amp; Soft Costs</v>
      </c>
      <c r="C136" s="1463"/>
      <c r="D136" s="1463"/>
      <c r="E136" s="1463"/>
      <c r="F136" s="1463"/>
      <c r="G136" s="1464"/>
      <c r="H136" s="987">
        <f>Summary!L20</f>
        <v>0</v>
      </c>
      <c r="I136" s="389"/>
      <c r="J136" s="411"/>
      <c r="K136" s="411"/>
      <c r="L136" s="411"/>
      <c r="M136" s="413"/>
      <c r="N136" s="415"/>
      <c r="P136" s="488">
        <f t="shared" si="7"/>
        <v>0</v>
      </c>
      <c r="Q136" s="486"/>
      <c r="R136" s="486"/>
      <c r="S136" s="486"/>
      <c r="T136" s="487"/>
    </row>
    <row r="137" spans="2:20" x14ac:dyDescent="0.25">
      <c r="B137" s="1462" t="str">
        <f>Summary!I21</f>
        <v>Developer Fee</v>
      </c>
      <c r="C137" s="1463"/>
      <c r="D137" s="1463"/>
      <c r="E137" s="1463"/>
      <c r="F137" s="1463"/>
      <c r="G137" s="1464"/>
      <c r="H137" s="987">
        <f>Summary!L21</f>
        <v>0</v>
      </c>
      <c r="I137" s="389"/>
      <c r="J137" s="411"/>
      <c r="K137" s="411"/>
      <c r="L137" s="411"/>
      <c r="M137" s="413"/>
      <c r="N137" s="412"/>
      <c r="P137" s="488">
        <f t="shared" si="7"/>
        <v>0</v>
      </c>
      <c r="Q137" s="486"/>
      <c r="R137" s="486"/>
      <c r="S137" s="486"/>
      <c r="T137" s="487"/>
    </row>
    <row r="138" spans="2:20" x14ac:dyDescent="0.25">
      <c r="B138" s="1462" t="str">
        <f>Summary!I22</f>
        <v>GMHF Origination Fees</v>
      </c>
      <c r="C138" s="1463"/>
      <c r="D138" s="1463"/>
      <c r="E138" s="1463"/>
      <c r="F138" s="1463"/>
      <c r="G138" s="1464"/>
      <c r="H138" s="987">
        <f>Summary!L22</f>
        <v>0</v>
      </c>
      <c r="I138" s="389"/>
      <c r="J138" s="411"/>
      <c r="K138" s="411"/>
      <c r="L138" s="411"/>
      <c r="M138" s="413"/>
      <c r="N138" s="415"/>
      <c r="P138" s="488">
        <f t="shared" si="7"/>
        <v>0</v>
      </c>
      <c r="Q138" s="486"/>
      <c r="R138" s="486"/>
      <c r="S138" s="486"/>
      <c r="T138" s="487"/>
    </row>
    <row r="139" spans="2:20" x14ac:dyDescent="0.25">
      <c r="B139" s="1462" t="str">
        <f>Summary!I23</f>
        <v>GMHF Construction Interest</v>
      </c>
      <c r="C139" s="1463"/>
      <c r="D139" s="1463"/>
      <c r="E139" s="1463"/>
      <c r="F139" s="1463"/>
      <c r="G139" s="1464"/>
      <c r="H139" s="987">
        <f>Summary!L23</f>
        <v>0</v>
      </c>
      <c r="I139" s="389"/>
      <c r="J139" s="411"/>
      <c r="K139" s="411"/>
      <c r="L139" s="411"/>
      <c r="M139" s="413"/>
      <c r="N139" s="415"/>
      <c r="P139" s="488">
        <f t="shared" si="7"/>
        <v>0</v>
      </c>
      <c r="Q139" s="486"/>
      <c r="R139" s="486"/>
      <c r="S139" s="486"/>
      <c r="T139" s="487"/>
    </row>
    <row r="140" spans="2:20" x14ac:dyDescent="0.25">
      <c r="B140" s="1462" t="str">
        <f>Summary!I24</f>
        <v>Other GMHF Financing Costs</v>
      </c>
      <c r="C140" s="1463"/>
      <c r="D140" s="1463"/>
      <c r="E140" s="1463"/>
      <c r="F140" s="1463"/>
      <c r="G140" s="1464"/>
      <c r="H140" s="987">
        <f>Summary!L24</f>
        <v>0</v>
      </c>
      <c r="I140" s="389"/>
      <c r="J140" s="411"/>
      <c r="K140" s="411"/>
      <c r="L140" s="411"/>
      <c r="M140" s="413"/>
      <c r="N140" s="415"/>
      <c r="P140" s="488">
        <f t="shared" si="7"/>
        <v>0</v>
      </c>
      <c r="Q140" s="486"/>
      <c r="R140" s="486"/>
      <c r="S140" s="486"/>
      <c r="T140" s="487"/>
    </row>
    <row r="141" spans="2:20" x14ac:dyDescent="0.25">
      <c r="B141" s="1462" t="str">
        <f>Summary!I25</f>
        <v>Other Lender Construction Interest</v>
      </c>
      <c r="C141" s="1463"/>
      <c r="D141" s="1463"/>
      <c r="E141" s="1463"/>
      <c r="F141" s="1463"/>
      <c r="G141" s="1464"/>
      <c r="H141" s="987">
        <f>Summary!L25</f>
        <v>0</v>
      </c>
      <c r="I141" s="389"/>
      <c r="J141" s="411"/>
      <c r="K141" s="411"/>
      <c r="L141" s="411"/>
      <c r="M141" s="413"/>
      <c r="N141" s="415"/>
      <c r="P141" s="488">
        <f t="shared" si="7"/>
        <v>0</v>
      </c>
      <c r="Q141" s="486"/>
      <c r="R141" s="486"/>
      <c r="S141" s="486"/>
      <c r="T141" s="487"/>
    </row>
    <row r="142" spans="2:20" x14ac:dyDescent="0.25">
      <c r="B142" s="1462" t="str">
        <f>Summary!I26</f>
        <v>Other Financing Costs</v>
      </c>
      <c r="C142" s="1463"/>
      <c r="D142" s="1463"/>
      <c r="E142" s="1463"/>
      <c r="F142" s="1463"/>
      <c r="G142" s="1464"/>
      <c r="H142" s="987">
        <f>Summary!L26</f>
        <v>0</v>
      </c>
      <c r="I142" s="389"/>
      <c r="J142" s="411"/>
      <c r="K142" s="411"/>
      <c r="L142" s="411"/>
      <c r="M142" s="413"/>
      <c r="N142" s="415"/>
      <c r="P142" s="488">
        <f t="shared" si="7"/>
        <v>0</v>
      </c>
      <c r="Q142" s="486"/>
      <c r="R142" s="486"/>
      <c r="S142" s="486"/>
      <c r="T142" s="487"/>
    </row>
    <row r="143" spans="2:20" x14ac:dyDescent="0.25">
      <c r="B143" s="1462" t="str">
        <f>Summary!I27</f>
        <v>Title &amp; Closing Costs</v>
      </c>
      <c r="C143" s="1463"/>
      <c r="D143" s="1463"/>
      <c r="E143" s="1463"/>
      <c r="F143" s="1463"/>
      <c r="G143" s="1464"/>
      <c r="H143" s="987">
        <f>Summary!L27</f>
        <v>0</v>
      </c>
      <c r="I143" s="389"/>
      <c r="J143" s="411"/>
      <c r="K143" s="411"/>
      <c r="L143" s="411"/>
      <c r="M143" s="413"/>
      <c r="N143" s="415"/>
      <c r="P143" s="488">
        <f t="shared" si="7"/>
        <v>0</v>
      </c>
      <c r="Q143" s="486"/>
      <c r="R143" s="486"/>
      <c r="S143" s="486"/>
      <c r="T143" s="487"/>
    </row>
    <row r="144" spans="2:20" x14ac:dyDescent="0.25">
      <c r="B144" s="1462" t="str">
        <f>Summary!I28</f>
        <v>Operating Reserves</v>
      </c>
      <c r="C144" s="1463"/>
      <c r="D144" s="1463"/>
      <c r="E144" s="1463"/>
      <c r="F144" s="1463"/>
      <c r="G144" s="1464"/>
      <c r="H144" s="987">
        <f>Summary!L28</f>
        <v>0</v>
      </c>
      <c r="I144" s="389"/>
      <c r="J144" s="411"/>
      <c r="K144" s="411"/>
      <c r="L144" s="411"/>
      <c r="M144" s="413"/>
      <c r="N144" s="412"/>
      <c r="P144" s="488">
        <f t="shared" si="7"/>
        <v>0</v>
      </c>
      <c r="Q144" s="486"/>
      <c r="R144" s="486"/>
      <c r="S144" s="486"/>
      <c r="T144" s="487"/>
    </row>
    <row r="145" spans="2:20" x14ac:dyDescent="0.25">
      <c r="B145" s="1462" t="str">
        <f>Summary!I29</f>
        <v>Debt Service Reserves</v>
      </c>
      <c r="C145" s="1463"/>
      <c r="D145" s="1463"/>
      <c r="E145" s="1463"/>
      <c r="F145" s="1463"/>
      <c r="G145" s="1464"/>
      <c r="H145" s="987">
        <f>Summary!L29</f>
        <v>0</v>
      </c>
      <c r="I145" s="389"/>
      <c r="J145" s="411"/>
      <c r="K145" s="411"/>
      <c r="L145" s="411"/>
      <c r="M145" s="413"/>
      <c r="N145" s="415"/>
      <c r="P145" s="488">
        <f t="shared" si="7"/>
        <v>0</v>
      </c>
      <c r="Q145" s="486"/>
      <c r="R145" s="486"/>
      <c r="S145" s="486"/>
      <c r="T145" s="487"/>
    </row>
    <row r="146" spans="2:20" x14ac:dyDescent="0.25">
      <c r="B146" s="1462" t="str">
        <f>Summary!I30</f>
        <v>Replacement Reserves</v>
      </c>
      <c r="C146" s="1463"/>
      <c r="D146" s="1463"/>
      <c r="E146" s="1463"/>
      <c r="F146" s="1463"/>
      <c r="G146" s="1464"/>
      <c r="H146" s="987">
        <f>Summary!L30</f>
        <v>0</v>
      </c>
      <c r="I146" s="389"/>
      <c r="J146" s="411"/>
      <c r="K146" s="411"/>
      <c r="L146" s="411"/>
      <c r="M146" s="413"/>
      <c r="N146" s="415"/>
      <c r="P146" s="488">
        <f t="shared" si="7"/>
        <v>0</v>
      </c>
      <c r="Q146" s="486"/>
      <c r="R146" s="486"/>
      <c r="S146" s="486"/>
      <c r="T146" s="487"/>
    </row>
    <row r="147" spans="2:20" x14ac:dyDescent="0.25">
      <c r="B147" s="1462" t="str">
        <f>Summary!I31</f>
        <v>Other Reserves</v>
      </c>
      <c r="C147" s="1463"/>
      <c r="D147" s="1463"/>
      <c r="E147" s="1463"/>
      <c r="F147" s="1463"/>
      <c r="G147" s="1464"/>
      <c r="H147" s="987">
        <f>Summary!L31</f>
        <v>0</v>
      </c>
      <c r="I147" s="389"/>
      <c r="J147" s="411"/>
      <c r="K147" s="411"/>
      <c r="L147" s="411"/>
      <c r="M147" s="413"/>
      <c r="N147" s="415"/>
      <c r="P147" s="488">
        <f t="shared" si="7"/>
        <v>0</v>
      </c>
      <c r="Q147" s="486"/>
      <c r="R147" s="486"/>
      <c r="S147" s="486"/>
      <c r="T147" s="487"/>
    </row>
    <row r="148" spans="2:20" x14ac:dyDescent="0.25">
      <c r="B148" s="1465" t="s">
        <v>39</v>
      </c>
      <c r="C148" s="1466"/>
      <c r="D148" s="1466"/>
      <c r="E148" s="1466"/>
      <c r="F148" s="1466"/>
      <c r="G148" s="1467"/>
      <c r="H148" s="992">
        <f>SUM(H132:H147)</f>
        <v>0</v>
      </c>
      <c r="I148" s="392">
        <f>SUM(I132:I147)</f>
        <v>0</v>
      </c>
      <c r="J148" s="392">
        <f>SUM(J132:J147)</f>
        <v>0</v>
      </c>
      <c r="K148" s="392">
        <f>SUM(K132:K147)</f>
        <v>0</v>
      </c>
      <c r="L148" s="392">
        <f t="shared" ref="L148:N148" si="8">SUM(L132:L147)</f>
        <v>0</v>
      </c>
      <c r="M148" s="392">
        <f t="shared" si="8"/>
        <v>0</v>
      </c>
      <c r="N148" s="993">
        <f t="shared" si="8"/>
        <v>0</v>
      </c>
      <c r="P148" s="488"/>
      <c r="Q148" s="486"/>
      <c r="R148" s="486"/>
      <c r="S148" s="486"/>
      <c r="T148" s="487"/>
    </row>
    <row r="149" spans="2:20" ht="15.75" thickBot="1" x14ac:dyDescent="0.3">
      <c r="B149" s="1468" t="s">
        <v>670</v>
      </c>
      <c r="C149" s="1469"/>
      <c r="D149" s="1469"/>
      <c r="E149" s="1469"/>
      <c r="F149" s="1469"/>
      <c r="G149" s="1470"/>
      <c r="H149" s="994">
        <f>H128-ROUND(H148,)</f>
        <v>0</v>
      </c>
      <c r="I149" s="995">
        <f>I129-I148</f>
        <v>0</v>
      </c>
      <c r="J149" s="995">
        <f>J129-J148</f>
        <v>0</v>
      </c>
      <c r="K149" s="995">
        <f>K129-K148</f>
        <v>0</v>
      </c>
      <c r="L149" s="995">
        <f t="shared" ref="L149:N149" si="9">L129-L148</f>
        <v>0</v>
      </c>
      <c r="M149" s="995">
        <f t="shared" si="9"/>
        <v>0</v>
      </c>
      <c r="N149" s="996">
        <f t="shared" si="9"/>
        <v>0</v>
      </c>
      <c r="P149" s="495"/>
      <c r="Q149" s="496"/>
      <c r="R149" s="496"/>
      <c r="S149" s="496"/>
      <c r="T149" s="497"/>
    </row>
  </sheetData>
  <sheetProtection sheet="1" objects="1" scenarios="1" formatCells="0"/>
  <mergeCells count="206">
    <mergeCell ref="B58:G58"/>
    <mergeCell ref="B57:N57"/>
    <mergeCell ref="B13:E13"/>
    <mergeCell ref="B14:E14"/>
    <mergeCell ref="B15:E15"/>
    <mergeCell ref="B16:E16"/>
    <mergeCell ref="B17:E17"/>
    <mergeCell ref="B18:E18"/>
    <mergeCell ref="B19:E19"/>
    <mergeCell ref="B20:E20"/>
    <mergeCell ref="B21:E21"/>
    <mergeCell ref="H36:L36"/>
    <mergeCell ref="H37:L37"/>
    <mergeCell ref="H38:L38"/>
    <mergeCell ref="H39:L39"/>
    <mergeCell ref="H41:L41"/>
    <mergeCell ref="B32:N32"/>
    <mergeCell ref="B33:G33"/>
    <mergeCell ref="H33:N33"/>
    <mergeCell ref="B34:F34"/>
    <mergeCell ref="H34:L34"/>
    <mergeCell ref="B35:F35"/>
    <mergeCell ref="H35:L35"/>
    <mergeCell ref="B36:F36"/>
    <mergeCell ref="B140:G140"/>
    <mergeCell ref="B141:G141"/>
    <mergeCell ref="B142:G142"/>
    <mergeCell ref="B143:G143"/>
    <mergeCell ref="B144:G144"/>
    <mergeCell ref="B145:G145"/>
    <mergeCell ref="B146:G146"/>
    <mergeCell ref="B2:N2"/>
    <mergeCell ref="B100:N100"/>
    <mergeCell ref="H101:N101"/>
    <mergeCell ref="B92:J92"/>
    <mergeCell ref="B93:J93"/>
    <mergeCell ref="B94:J94"/>
    <mergeCell ref="B95:J95"/>
    <mergeCell ref="B96:J96"/>
    <mergeCell ref="B97:J97"/>
    <mergeCell ref="B29:E29"/>
    <mergeCell ref="B30:E30"/>
    <mergeCell ref="B3:E3"/>
    <mergeCell ref="B4:E4"/>
    <mergeCell ref="B5:E5"/>
    <mergeCell ref="B6:E6"/>
    <mergeCell ref="B7:E7"/>
    <mergeCell ref="B8:E8"/>
    <mergeCell ref="B47:F47"/>
    <mergeCell ref="H47:L47"/>
    <mergeCell ref="H48:L48"/>
    <mergeCell ref="B49:F49"/>
    <mergeCell ref="H49:L49"/>
    <mergeCell ref="H42:L42"/>
    <mergeCell ref="B44:N44"/>
    <mergeCell ref="B45:G45"/>
    <mergeCell ref="H45:N45"/>
    <mergeCell ref="B46:F46"/>
    <mergeCell ref="H46:L46"/>
    <mergeCell ref="V7:W7"/>
    <mergeCell ref="V8:W8"/>
    <mergeCell ref="V9:W9"/>
    <mergeCell ref="H70:M70"/>
    <mergeCell ref="B71:F71"/>
    <mergeCell ref="H71:M71"/>
    <mergeCell ref="B72:F72"/>
    <mergeCell ref="H72:M72"/>
    <mergeCell ref="B56:F56"/>
    <mergeCell ref="H56:M56"/>
    <mergeCell ref="B67:N67"/>
    <mergeCell ref="B68:G68"/>
    <mergeCell ref="H68:N68"/>
    <mergeCell ref="H69:M69"/>
    <mergeCell ref="B59:F59"/>
    <mergeCell ref="B60:F60"/>
    <mergeCell ref="B61:F61"/>
    <mergeCell ref="B64:F64"/>
    <mergeCell ref="B65:F65"/>
    <mergeCell ref="H58:N58"/>
    <mergeCell ref="H59:M59"/>
    <mergeCell ref="H60:M60"/>
    <mergeCell ref="H61:M61"/>
    <mergeCell ref="H64:M64"/>
    <mergeCell ref="L25:N25"/>
    <mergeCell ref="L26:N26"/>
    <mergeCell ref="B73:F73"/>
    <mergeCell ref="H73:M73"/>
    <mergeCell ref="B74:F74"/>
    <mergeCell ref="H74:M74"/>
    <mergeCell ref="B75:F75"/>
    <mergeCell ref="H75:M75"/>
    <mergeCell ref="B70:F70"/>
    <mergeCell ref="H65:M65"/>
    <mergeCell ref="H62:N62"/>
    <mergeCell ref="B53:F53"/>
    <mergeCell ref="H53:M53"/>
    <mergeCell ref="B54:F54"/>
    <mergeCell ref="H54:M54"/>
    <mergeCell ref="B55:F55"/>
    <mergeCell ref="H55:M55"/>
    <mergeCell ref="B50:F50"/>
    <mergeCell ref="H50:M50"/>
    <mergeCell ref="B51:F51"/>
    <mergeCell ref="H51:M51"/>
    <mergeCell ref="B52:F52"/>
    <mergeCell ref="H52:M52"/>
    <mergeCell ref="B48:F48"/>
    <mergeCell ref="V11:W11"/>
    <mergeCell ref="V12:W12"/>
    <mergeCell ref="V13:W13"/>
    <mergeCell ref="V14:W14"/>
    <mergeCell ref="V15:W15"/>
    <mergeCell ref="B10:N10"/>
    <mergeCell ref="L22:N22"/>
    <mergeCell ref="L23:N23"/>
    <mergeCell ref="L24:N24"/>
    <mergeCell ref="V4:AC4"/>
    <mergeCell ref="V5:W5"/>
    <mergeCell ref="V6:W6"/>
    <mergeCell ref="B27:E27"/>
    <mergeCell ref="B28:E28"/>
    <mergeCell ref="V2:AC2"/>
    <mergeCell ref="P2:T2"/>
    <mergeCell ref="B63:F63"/>
    <mergeCell ref="H63:M63"/>
    <mergeCell ref="B11:E11"/>
    <mergeCell ref="B12:E12"/>
    <mergeCell ref="B22:E22"/>
    <mergeCell ref="B23:E23"/>
    <mergeCell ref="B24:E24"/>
    <mergeCell ref="B25:E25"/>
    <mergeCell ref="B26:E26"/>
    <mergeCell ref="L15:N15"/>
    <mergeCell ref="L16:N16"/>
    <mergeCell ref="L17:N17"/>
    <mergeCell ref="L18:N18"/>
    <mergeCell ref="L19:N19"/>
    <mergeCell ref="L20:N20"/>
    <mergeCell ref="L21:N21"/>
    <mergeCell ref="V10:W10"/>
    <mergeCell ref="L3:N3"/>
    <mergeCell ref="B84:J84"/>
    <mergeCell ref="B85:J85"/>
    <mergeCell ref="B86:J86"/>
    <mergeCell ref="B87:J87"/>
    <mergeCell ref="B88:J88"/>
    <mergeCell ref="B89:J89"/>
    <mergeCell ref="B90:J90"/>
    <mergeCell ref="B91:J91"/>
    <mergeCell ref="L4:N4"/>
    <mergeCell ref="L5:N5"/>
    <mergeCell ref="L6:N6"/>
    <mergeCell ref="L7:N7"/>
    <mergeCell ref="L8:N8"/>
    <mergeCell ref="L11:N11"/>
    <mergeCell ref="L12:N12"/>
    <mergeCell ref="L13:N13"/>
    <mergeCell ref="L14:N14"/>
    <mergeCell ref="B78:F78"/>
    <mergeCell ref="H77:M77"/>
    <mergeCell ref="B83:N83"/>
    <mergeCell ref="L27:N27"/>
    <mergeCell ref="L28:N28"/>
    <mergeCell ref="L29:N29"/>
    <mergeCell ref="B98:J98"/>
    <mergeCell ref="B102:G102"/>
    <mergeCell ref="B103:G103"/>
    <mergeCell ref="B104:G104"/>
    <mergeCell ref="B105:G105"/>
    <mergeCell ref="B106:G106"/>
    <mergeCell ref="B107:G107"/>
    <mergeCell ref="B108:G108"/>
    <mergeCell ref="B109:G109"/>
    <mergeCell ref="B110:G110"/>
    <mergeCell ref="B111:G111"/>
    <mergeCell ref="B112:G112"/>
    <mergeCell ref="B113:G113"/>
    <mergeCell ref="B114:G114"/>
    <mergeCell ref="B115:G115"/>
    <mergeCell ref="B116:G116"/>
    <mergeCell ref="B117:G117"/>
    <mergeCell ref="B118:G118"/>
    <mergeCell ref="B147:G147"/>
    <mergeCell ref="B148:G148"/>
    <mergeCell ref="B149:G149"/>
    <mergeCell ref="B119:G119"/>
    <mergeCell ref="B120:G120"/>
    <mergeCell ref="B121:G121"/>
    <mergeCell ref="B122:G122"/>
    <mergeCell ref="B123:G123"/>
    <mergeCell ref="B124:G124"/>
    <mergeCell ref="B125:G125"/>
    <mergeCell ref="B126:G126"/>
    <mergeCell ref="B127:G127"/>
    <mergeCell ref="B128:G128"/>
    <mergeCell ref="B129:G129"/>
    <mergeCell ref="B130:G130"/>
    <mergeCell ref="B131:G131"/>
    <mergeCell ref="B132:G132"/>
    <mergeCell ref="B133:G133"/>
    <mergeCell ref="B134:G134"/>
    <mergeCell ref="B135:G135"/>
    <mergeCell ref="B136:G136"/>
    <mergeCell ref="B137:G137"/>
    <mergeCell ref="B138:G138"/>
    <mergeCell ref="B139:G139"/>
  </mergeCells>
  <conditionalFormatting sqref="N65">
    <cfRule type="cellIs" dxfId="8" priority="1" operator="equal">
      <formula>"OK"</formula>
    </cfRule>
    <cfRule type="cellIs" dxfId="7" priority="2" operator="equal">
      <formula>"OK"</formula>
    </cfRule>
    <cfRule type="cellIs" dxfId="6" priority="3" operator="equal">
      <formula>"FAIL"</formula>
    </cfRule>
  </conditionalFormatting>
  <dataValidations count="4">
    <dataValidation type="list" allowBlank="1" showInputMessage="1" showErrorMessage="1" sqref="M85:M86 N85 K85:L85" xr:uid="{69657D2B-029B-4404-98B3-B123D6EB6EDF}">
      <formula1>"x"</formula1>
    </dataValidation>
    <dataValidation type="list" allowBlank="1" showInputMessage="1" showErrorMessage="1" sqref="I12:I29 I4:I8" xr:uid="{33C89C84-1C65-448D-BDCE-179BCC9CFA9E}">
      <formula1>"Yes, No"</formula1>
    </dataValidation>
    <dataValidation type="list" allowBlank="1" showInputMessage="1" showErrorMessage="1" sqref="M92" xr:uid="{451CBFBA-4974-445D-BD4B-5DD1F3F2A759}">
      <formula1>"Fixed,Compounding"</formula1>
    </dataValidation>
    <dataValidation type="list" allowBlank="1" showInputMessage="1" showErrorMessage="1" sqref="K4:K7 K12:K28" xr:uid="{BC4F80B1-D79B-4067-B1C0-B195C3074BEB}">
      <formula1>"X"</formula1>
    </dataValidation>
  </dataValidations>
  <pageMargins left="0.7" right="0.7" top="0.75" bottom="0.75" header="0.3" footer="0.3"/>
  <pageSetup scale="73" orientation="portrait" r:id="rId1"/>
  <headerFooter>
    <oddFooter>&amp;L&amp;F</oddFooter>
  </headerFooter>
  <rowBreaks count="2" manualBreakCount="2">
    <brk id="30" min="1" max="12" man="1"/>
    <brk id="98" min="1" max="12"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0E57609-78EC-42E7-B992-E31A44EBD65D}">
          <x14:formula1>
            <xm:f>Lists!$C$1:$C$4</xm:f>
          </x14:formula1>
          <xm:sqref>L76</xm:sqref>
        </x14:dataValidation>
        <x14:dataValidation type="list" allowBlank="1" showInputMessage="1" showErrorMessage="1" xr:uid="{B5AD02A3-F709-4DBB-9751-02786ED6724A}">
          <x14:formula1>
            <xm:f>Summary!$Y$38:$Y$39</xm:f>
          </x14:formula1>
          <xm:sqref>J28</xm:sqref>
        </x14:dataValidation>
        <x14:dataValidation type="list" allowBlank="1" showInputMessage="1" showErrorMessage="1" xr:uid="{01E452D5-DA4C-4BBB-BAF7-B06ACA5EA3CC}">
          <x14:formula1>
            <xm:f>Lists!$A$6:$A$7</xm:f>
          </x14:formula1>
          <xm:sqref>J4:J7 J12:J27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A84"/>
  <sheetViews>
    <sheetView showGridLines="0" topLeftCell="B1" zoomScaleNormal="100" workbookViewId="0">
      <selection activeCell="J24" sqref="J24"/>
    </sheetView>
  </sheetViews>
  <sheetFormatPr defaultRowHeight="15" outlineLevelRow="1" x14ac:dyDescent="0.25"/>
  <cols>
    <col min="1" max="1" width="0" hidden="1" customWidth="1"/>
    <col min="2" max="2" width="4.140625" customWidth="1"/>
    <col min="3" max="3" width="27.7109375" customWidth="1"/>
    <col min="4" max="4" width="6.7109375" customWidth="1"/>
    <col min="5" max="19" width="11.85546875" customWidth="1"/>
    <col min="20" max="20" width="3.85546875" customWidth="1"/>
  </cols>
  <sheetData>
    <row r="1" spans="1:27" x14ac:dyDescent="0.25">
      <c r="P1" s="1533" t="s">
        <v>54</v>
      </c>
      <c r="Q1" s="1533"/>
      <c r="R1" s="1533"/>
      <c r="S1" s="51">
        <v>0.02</v>
      </c>
    </row>
    <row r="2" spans="1:27" x14ac:dyDescent="0.25">
      <c r="P2" s="1534" t="s">
        <v>591</v>
      </c>
      <c r="Q2" s="1534"/>
      <c r="R2" s="1534"/>
      <c r="S2" s="51">
        <v>0.03</v>
      </c>
    </row>
    <row r="3" spans="1:27" x14ac:dyDescent="0.25">
      <c r="P3" s="1534" t="s">
        <v>592</v>
      </c>
      <c r="Q3" s="1533"/>
      <c r="R3" s="1533"/>
      <c r="S3" s="51">
        <v>0.03</v>
      </c>
    </row>
    <row r="4" spans="1:27" x14ac:dyDescent="0.25">
      <c r="P4" s="1534" t="s">
        <v>610</v>
      </c>
      <c r="Q4" s="1533"/>
      <c r="R4" s="1533"/>
      <c r="S4" s="1073">
        <v>0</v>
      </c>
    </row>
    <row r="5" spans="1:27" ht="15.75" thickBot="1" x14ac:dyDescent="0.3"/>
    <row r="6" spans="1:27" ht="15.75" thickBot="1" x14ac:dyDescent="0.3">
      <c r="C6" s="1233" t="str">
        <f>UPPER(Summary!E7) &amp; " CASH FLOW PROJECTION"</f>
        <v xml:space="preserve"> CASH FLOW PROJECTION</v>
      </c>
      <c r="D6" s="1234"/>
      <c r="E6" s="1234"/>
      <c r="F6" s="1234"/>
      <c r="G6" s="1234"/>
      <c r="H6" s="1234"/>
      <c r="I6" s="1234"/>
      <c r="J6" s="1234"/>
      <c r="K6" s="1234"/>
      <c r="L6" s="1234"/>
      <c r="M6" s="1234"/>
      <c r="N6" s="1234"/>
      <c r="O6" s="1234"/>
      <c r="P6" s="1234"/>
      <c r="Q6" s="1234"/>
      <c r="R6" s="1234"/>
      <c r="S6" s="1235"/>
      <c r="U6" s="1532" t="s">
        <v>99</v>
      </c>
      <c r="V6" s="1532"/>
      <c r="W6" s="1532"/>
      <c r="X6" s="1532"/>
      <c r="Y6" s="1532"/>
      <c r="Z6" s="1532"/>
      <c r="AA6" s="1532"/>
    </row>
    <row r="7" spans="1:27" ht="15.75" thickBot="1" x14ac:dyDescent="0.3">
      <c r="C7" s="1"/>
      <c r="D7" s="1"/>
      <c r="E7" s="1531"/>
      <c r="F7" s="1531"/>
      <c r="G7" s="1531"/>
      <c r="H7" s="1531"/>
      <c r="I7" s="1531"/>
      <c r="J7" s="1531"/>
      <c r="K7" s="1531"/>
      <c r="L7" s="1531"/>
      <c r="M7" s="1531"/>
      <c r="N7" s="1531"/>
      <c r="O7" s="1531"/>
      <c r="P7" s="1531"/>
      <c r="Q7" s="1531"/>
      <c r="R7" s="1531"/>
      <c r="S7" s="1531"/>
      <c r="T7" s="1002"/>
      <c r="U7" s="221"/>
      <c r="V7" s="221"/>
      <c r="W7" s="221"/>
      <c r="X7" s="221"/>
      <c r="Y7" s="221"/>
      <c r="Z7" s="221"/>
      <c r="AA7" s="222"/>
    </row>
    <row r="8" spans="1:27" ht="15.75" hidden="1" thickBot="1" x14ac:dyDescent="0.3">
      <c r="A8" t="s">
        <v>782</v>
      </c>
      <c r="C8" s="1"/>
      <c r="D8" s="1"/>
      <c r="E8" s="1001">
        <v>1</v>
      </c>
      <c r="F8" s="1001">
        <f>E8+1</f>
        <v>2</v>
      </c>
      <c r="G8" s="1001">
        <f t="shared" ref="G8:S8" si="0">F8+1</f>
        <v>3</v>
      </c>
      <c r="H8" s="1001">
        <f t="shared" si="0"/>
        <v>4</v>
      </c>
      <c r="I8" s="1001">
        <f t="shared" si="0"/>
        <v>5</v>
      </c>
      <c r="J8" s="1001">
        <f t="shared" si="0"/>
        <v>6</v>
      </c>
      <c r="K8" s="1001">
        <f t="shared" si="0"/>
        <v>7</v>
      </c>
      <c r="L8" s="1001">
        <f t="shared" si="0"/>
        <v>8</v>
      </c>
      <c r="M8" s="1001">
        <f t="shared" si="0"/>
        <v>9</v>
      </c>
      <c r="N8" s="1001">
        <f t="shared" si="0"/>
        <v>10</v>
      </c>
      <c r="O8" s="1001">
        <f t="shared" si="0"/>
        <v>11</v>
      </c>
      <c r="P8" s="1001">
        <f t="shared" si="0"/>
        <v>12</v>
      </c>
      <c r="Q8" s="1001">
        <f t="shared" si="0"/>
        <v>13</v>
      </c>
      <c r="R8" s="1001">
        <f t="shared" si="0"/>
        <v>14</v>
      </c>
      <c r="S8" s="1001">
        <f t="shared" si="0"/>
        <v>15</v>
      </c>
      <c r="T8" s="190"/>
      <c r="AA8" s="207"/>
    </row>
    <row r="9" spans="1:27" x14ac:dyDescent="0.25">
      <c r="A9">
        <v>2</v>
      </c>
      <c r="C9" s="665"/>
      <c r="D9" s="1003" t="s">
        <v>44</v>
      </c>
      <c r="E9" s="40" t="s">
        <v>56</v>
      </c>
      <c r="F9" s="40" t="s">
        <v>69</v>
      </c>
      <c r="G9" s="40" t="s">
        <v>70</v>
      </c>
      <c r="H9" s="40" t="s">
        <v>71</v>
      </c>
      <c r="I9" s="40" t="s">
        <v>72</v>
      </c>
      <c r="J9" s="40" t="s">
        <v>73</v>
      </c>
      <c r="K9" s="40" t="s">
        <v>74</v>
      </c>
      <c r="L9" s="40" t="s">
        <v>75</v>
      </c>
      <c r="M9" s="40" t="s">
        <v>76</v>
      </c>
      <c r="N9" s="40" t="s">
        <v>77</v>
      </c>
      <c r="O9" s="40" t="s">
        <v>78</v>
      </c>
      <c r="P9" s="40" t="s">
        <v>79</v>
      </c>
      <c r="Q9" s="40" t="s">
        <v>80</v>
      </c>
      <c r="R9" s="40" t="s">
        <v>81</v>
      </c>
      <c r="S9" s="1004" t="s">
        <v>57</v>
      </c>
      <c r="T9" s="190"/>
      <c r="U9" s="482"/>
      <c r="V9" s="483"/>
      <c r="W9" s="483"/>
      <c r="X9" s="483"/>
      <c r="Y9" s="483"/>
      <c r="Z9" s="483"/>
      <c r="AA9" s="484"/>
    </row>
    <row r="10" spans="1:27" x14ac:dyDescent="0.25">
      <c r="A10">
        <f>A9+1</f>
        <v>3</v>
      </c>
      <c r="C10" s="1005" t="s">
        <v>7</v>
      </c>
      <c r="D10" s="3"/>
      <c r="E10" s="3"/>
      <c r="F10" s="3"/>
      <c r="G10" s="1006"/>
      <c r="H10" s="1006"/>
      <c r="I10" s="1006"/>
      <c r="J10" s="1006"/>
      <c r="K10" s="1006"/>
      <c r="L10" s="1006"/>
      <c r="M10" s="1006"/>
      <c r="N10" s="1006"/>
      <c r="O10" s="1006"/>
      <c r="P10" s="1006"/>
      <c r="Q10" s="1006"/>
      <c r="R10" s="1006"/>
      <c r="S10" s="1007"/>
      <c r="T10" s="190"/>
      <c r="U10" s="488"/>
      <c r="V10" s="486"/>
      <c r="W10" s="486"/>
      <c r="X10" s="486"/>
      <c r="Y10" s="486"/>
      <c r="Z10" s="486"/>
      <c r="AA10" s="487"/>
    </row>
    <row r="11" spans="1:27" x14ac:dyDescent="0.25">
      <c r="A11">
        <f t="shared" ref="A11:A74" si="1">A10+1</f>
        <v>4</v>
      </c>
      <c r="C11" s="1008" t="s">
        <v>8</v>
      </c>
      <c r="D11" s="1009">
        <f>$S$1</f>
        <v>0.02</v>
      </c>
      <c r="E11" s="1010">
        <f>'Inc &amp; Exp'!G10*(1+$D11)^$S$4</f>
        <v>0</v>
      </c>
      <c r="F11" s="1010">
        <f>E11*(1+$D11)</f>
        <v>0</v>
      </c>
      <c r="G11" s="1010">
        <f t="shared" ref="G11:S13" si="2">F11*(1+$D11)</f>
        <v>0</v>
      </c>
      <c r="H11" s="1010">
        <f t="shared" si="2"/>
        <v>0</v>
      </c>
      <c r="I11" s="1010">
        <f t="shared" si="2"/>
        <v>0</v>
      </c>
      <c r="J11" s="1010">
        <f t="shared" si="2"/>
        <v>0</v>
      </c>
      <c r="K11" s="1010">
        <f t="shared" si="2"/>
        <v>0</v>
      </c>
      <c r="L11" s="1010">
        <f t="shared" si="2"/>
        <v>0</v>
      </c>
      <c r="M11" s="1010">
        <f t="shared" si="2"/>
        <v>0</v>
      </c>
      <c r="N11" s="1010">
        <f t="shared" si="2"/>
        <v>0</v>
      </c>
      <c r="O11" s="1010">
        <f t="shared" si="2"/>
        <v>0</v>
      </c>
      <c r="P11" s="1010">
        <f t="shared" si="2"/>
        <v>0</v>
      </c>
      <c r="Q11" s="1010">
        <f t="shared" si="2"/>
        <v>0</v>
      </c>
      <c r="R11" s="1010">
        <f t="shared" si="2"/>
        <v>0</v>
      </c>
      <c r="S11" s="1011">
        <f t="shared" si="2"/>
        <v>0</v>
      </c>
      <c r="T11" s="190"/>
      <c r="U11" s="488"/>
      <c r="V11" s="486"/>
      <c r="W11" s="486"/>
      <c r="X11" s="486"/>
      <c r="Y11" s="486"/>
      <c r="Z11" s="486"/>
      <c r="AA11" s="487"/>
    </row>
    <row r="12" spans="1:27" x14ac:dyDescent="0.25">
      <c r="A12">
        <f t="shared" si="1"/>
        <v>5</v>
      </c>
      <c r="C12" s="1008" t="s">
        <v>9</v>
      </c>
      <c r="D12" s="1009">
        <f>$S$1</f>
        <v>0.02</v>
      </c>
      <c r="E12" s="1010">
        <f>'Inc &amp; Exp'!G11*(1+$D12)^$S$4</f>
        <v>0</v>
      </c>
      <c r="F12" s="1010">
        <f>E12*(1+$D12)</f>
        <v>0</v>
      </c>
      <c r="G12" s="1010">
        <f t="shared" si="2"/>
        <v>0</v>
      </c>
      <c r="H12" s="1010">
        <f t="shared" si="2"/>
        <v>0</v>
      </c>
      <c r="I12" s="1010">
        <f t="shared" si="2"/>
        <v>0</v>
      </c>
      <c r="J12" s="1010">
        <f t="shared" si="2"/>
        <v>0</v>
      </c>
      <c r="K12" s="1010">
        <f t="shared" si="2"/>
        <v>0</v>
      </c>
      <c r="L12" s="1010">
        <f t="shared" si="2"/>
        <v>0</v>
      </c>
      <c r="M12" s="1010">
        <f t="shared" si="2"/>
        <v>0</v>
      </c>
      <c r="N12" s="1010">
        <f t="shared" si="2"/>
        <v>0</v>
      </c>
      <c r="O12" s="1010">
        <f t="shared" si="2"/>
        <v>0</v>
      </c>
      <c r="P12" s="1010">
        <f t="shared" si="2"/>
        <v>0</v>
      </c>
      <c r="Q12" s="1010">
        <f t="shared" si="2"/>
        <v>0</v>
      </c>
      <c r="R12" s="1010">
        <f t="shared" si="2"/>
        <v>0</v>
      </c>
      <c r="S12" s="1011">
        <f t="shared" si="2"/>
        <v>0</v>
      </c>
      <c r="T12" s="190"/>
      <c r="U12" s="488"/>
      <c r="V12" s="486"/>
      <c r="W12" s="486"/>
      <c r="X12" s="486"/>
      <c r="Y12" s="486"/>
      <c r="Z12" s="486"/>
      <c r="AA12" s="487"/>
    </row>
    <row r="13" spans="1:27" ht="15.75" thickBot="1" x14ac:dyDescent="0.3">
      <c r="A13">
        <f t="shared" si="1"/>
        <v>6</v>
      </c>
      <c r="C13" s="1012" t="s">
        <v>10</v>
      </c>
      <c r="D13" s="1013">
        <f>$S$1</f>
        <v>0.02</v>
      </c>
      <c r="E13" s="1014">
        <f>'Inc &amp; Exp'!G12*(1+$D13)^$S$4</f>
        <v>0</v>
      </c>
      <c r="F13" s="1014">
        <f>E13*(1+$D13)</f>
        <v>0</v>
      </c>
      <c r="G13" s="1014">
        <f t="shared" si="2"/>
        <v>0</v>
      </c>
      <c r="H13" s="1014">
        <f t="shared" si="2"/>
        <v>0</v>
      </c>
      <c r="I13" s="1014">
        <f t="shared" si="2"/>
        <v>0</v>
      </c>
      <c r="J13" s="1014">
        <f t="shared" si="2"/>
        <v>0</v>
      </c>
      <c r="K13" s="1014">
        <f t="shared" si="2"/>
        <v>0</v>
      </c>
      <c r="L13" s="1014">
        <f t="shared" si="2"/>
        <v>0</v>
      </c>
      <c r="M13" s="1014">
        <f t="shared" si="2"/>
        <v>0</v>
      </c>
      <c r="N13" s="1014">
        <f t="shared" si="2"/>
        <v>0</v>
      </c>
      <c r="O13" s="1014">
        <f t="shared" si="2"/>
        <v>0</v>
      </c>
      <c r="P13" s="1014">
        <f t="shared" si="2"/>
        <v>0</v>
      </c>
      <c r="Q13" s="1014">
        <f t="shared" si="2"/>
        <v>0</v>
      </c>
      <c r="R13" s="1014">
        <f t="shared" si="2"/>
        <v>0</v>
      </c>
      <c r="S13" s="1015">
        <f t="shared" si="2"/>
        <v>0</v>
      </c>
      <c r="T13" s="190"/>
      <c r="U13" s="488"/>
      <c r="V13" s="486"/>
      <c r="W13" s="486"/>
      <c r="X13" s="486"/>
      <c r="Y13" s="486"/>
      <c r="Z13" s="486"/>
      <c r="AA13" s="487"/>
    </row>
    <row r="14" spans="1:27" x14ac:dyDescent="0.25">
      <c r="A14">
        <f t="shared" si="1"/>
        <v>7</v>
      </c>
      <c r="C14" s="668" t="s">
        <v>31</v>
      </c>
      <c r="D14" s="1016"/>
      <c r="E14" s="752">
        <f>SUM(E11:E13)</f>
        <v>0</v>
      </c>
      <c r="F14" s="752">
        <f t="shared" ref="F14:S14" si="3">SUM(F11:F13)</f>
        <v>0</v>
      </c>
      <c r="G14" s="752">
        <f t="shared" si="3"/>
        <v>0</v>
      </c>
      <c r="H14" s="752">
        <f t="shared" si="3"/>
        <v>0</v>
      </c>
      <c r="I14" s="752">
        <f t="shared" si="3"/>
        <v>0</v>
      </c>
      <c r="J14" s="752">
        <f t="shared" si="3"/>
        <v>0</v>
      </c>
      <c r="K14" s="752">
        <f t="shared" si="3"/>
        <v>0</v>
      </c>
      <c r="L14" s="752">
        <f t="shared" si="3"/>
        <v>0</v>
      </c>
      <c r="M14" s="752">
        <f t="shared" si="3"/>
        <v>0</v>
      </c>
      <c r="N14" s="752">
        <f t="shared" si="3"/>
        <v>0</v>
      </c>
      <c r="O14" s="752">
        <f t="shared" si="3"/>
        <v>0</v>
      </c>
      <c r="P14" s="752">
        <f t="shared" si="3"/>
        <v>0</v>
      </c>
      <c r="Q14" s="752">
        <f t="shared" si="3"/>
        <v>0</v>
      </c>
      <c r="R14" s="752">
        <f t="shared" si="3"/>
        <v>0</v>
      </c>
      <c r="S14" s="1017">
        <f t="shared" si="3"/>
        <v>0</v>
      </c>
      <c r="T14" s="190"/>
      <c r="U14" s="488"/>
      <c r="V14" s="486"/>
      <c r="W14" s="486"/>
      <c r="X14" s="486"/>
      <c r="Y14" s="486"/>
      <c r="Z14" s="486"/>
      <c r="AA14" s="487"/>
    </row>
    <row r="15" spans="1:27" x14ac:dyDescent="0.25">
      <c r="A15">
        <f t="shared" si="1"/>
        <v>8</v>
      </c>
      <c r="C15" s="1008"/>
      <c r="D15" s="1018"/>
      <c r="E15" s="1010"/>
      <c r="F15" s="1010"/>
      <c r="G15" s="1010"/>
      <c r="H15" s="1010"/>
      <c r="I15" s="1010"/>
      <c r="J15" s="1010"/>
      <c r="K15" s="1010"/>
      <c r="L15" s="1010"/>
      <c r="M15" s="1010"/>
      <c r="N15" s="1010"/>
      <c r="O15" s="1010"/>
      <c r="P15" s="1010"/>
      <c r="Q15" s="1010"/>
      <c r="R15" s="1010"/>
      <c r="S15" s="1011"/>
      <c r="T15" s="190"/>
      <c r="U15" s="488"/>
      <c r="V15" s="486"/>
      <c r="W15" s="486"/>
      <c r="X15" s="486"/>
      <c r="Y15" s="486"/>
      <c r="Z15" s="486"/>
      <c r="AA15" s="487"/>
    </row>
    <row r="16" spans="1:27" x14ac:dyDescent="0.25">
      <c r="A16">
        <f t="shared" si="1"/>
        <v>9</v>
      </c>
      <c r="C16" s="1005" t="s">
        <v>24</v>
      </c>
      <c r="D16" s="1009">
        <f>$S$1</f>
        <v>0.02</v>
      </c>
      <c r="E16" s="1019">
        <f>'Inc &amp; Exp'!G19*(1+$D16)^$S$4</f>
        <v>0</v>
      </c>
      <c r="F16" s="1010">
        <f>E16*(1+$D16)</f>
        <v>0</v>
      </c>
      <c r="G16" s="1010">
        <f t="shared" ref="G16:S16" si="4">F16*(1+$D16)</f>
        <v>0</v>
      </c>
      <c r="H16" s="1010">
        <f t="shared" si="4"/>
        <v>0</v>
      </c>
      <c r="I16" s="1010">
        <f t="shared" si="4"/>
        <v>0</v>
      </c>
      <c r="J16" s="1010">
        <f t="shared" si="4"/>
        <v>0</v>
      </c>
      <c r="K16" s="1010">
        <f t="shared" si="4"/>
        <v>0</v>
      </c>
      <c r="L16" s="1010">
        <f t="shared" si="4"/>
        <v>0</v>
      </c>
      <c r="M16" s="1010">
        <f t="shared" si="4"/>
        <v>0</v>
      </c>
      <c r="N16" s="1010">
        <f t="shared" si="4"/>
        <v>0</v>
      </c>
      <c r="O16" s="1010">
        <f t="shared" si="4"/>
        <v>0</v>
      </c>
      <c r="P16" s="1010">
        <f t="shared" si="4"/>
        <v>0</v>
      </c>
      <c r="Q16" s="1010">
        <f t="shared" si="4"/>
        <v>0</v>
      </c>
      <c r="R16" s="1010">
        <f t="shared" si="4"/>
        <v>0</v>
      </c>
      <c r="S16" s="1011">
        <f t="shared" si="4"/>
        <v>0</v>
      </c>
      <c r="T16" s="190"/>
      <c r="U16" s="488"/>
      <c r="V16" s="486"/>
      <c r="W16" s="486"/>
      <c r="X16" s="486"/>
      <c r="Y16" s="486"/>
      <c r="Z16" s="486"/>
      <c r="AA16" s="487"/>
    </row>
    <row r="17" spans="1:27" x14ac:dyDescent="0.25">
      <c r="A17">
        <f t="shared" si="1"/>
        <v>10</v>
      </c>
      <c r="C17" s="1008"/>
      <c r="D17" s="1018"/>
      <c r="E17" s="1010"/>
      <c r="F17" s="1010"/>
      <c r="G17" s="1010"/>
      <c r="H17" s="1010"/>
      <c r="I17" s="1010"/>
      <c r="J17" s="1010"/>
      <c r="K17" s="1010"/>
      <c r="L17" s="1010"/>
      <c r="M17" s="1010"/>
      <c r="N17" s="1010"/>
      <c r="O17" s="1010"/>
      <c r="P17" s="1010"/>
      <c r="Q17" s="1010"/>
      <c r="R17" s="1010"/>
      <c r="S17" s="1011"/>
      <c r="T17" s="190"/>
      <c r="U17" s="488"/>
      <c r="V17" s="486"/>
      <c r="W17" s="486"/>
      <c r="X17" s="486"/>
      <c r="Y17" s="486"/>
      <c r="Z17" s="486"/>
      <c r="AA17" s="487"/>
    </row>
    <row r="18" spans="1:27" x14ac:dyDescent="0.25">
      <c r="A18">
        <f t="shared" si="1"/>
        <v>11</v>
      </c>
      <c r="C18" s="1005" t="s">
        <v>25</v>
      </c>
      <c r="D18" s="1020"/>
      <c r="E18" s="961"/>
      <c r="F18" s="961"/>
      <c r="G18" s="1010"/>
      <c r="H18" s="1010"/>
      <c r="I18" s="1010"/>
      <c r="J18" s="1010"/>
      <c r="K18" s="1010"/>
      <c r="L18" s="1010"/>
      <c r="M18" s="1010"/>
      <c r="N18" s="1010"/>
      <c r="O18" s="1010"/>
      <c r="P18" s="1010"/>
      <c r="Q18" s="1010"/>
      <c r="R18" s="1010"/>
      <c r="S18" s="1011"/>
      <c r="T18" s="190"/>
      <c r="U18" s="488"/>
      <c r="V18" s="486"/>
      <c r="W18" s="486"/>
      <c r="X18" s="486"/>
      <c r="Y18" s="486"/>
      <c r="Z18" s="486"/>
      <c r="AA18" s="487"/>
    </row>
    <row r="19" spans="1:27" x14ac:dyDescent="0.25">
      <c r="A19">
        <f t="shared" si="1"/>
        <v>12</v>
      </c>
      <c r="C19" s="1008" t="s">
        <v>26</v>
      </c>
      <c r="D19" s="1021">
        <f>'Inc &amp; Exp'!F22</f>
        <v>7.0000000000000007E-2</v>
      </c>
      <c r="E19" s="1010">
        <f>IFERROR((E11+E16)*$D19,0)</f>
        <v>0</v>
      </c>
      <c r="F19" s="1010">
        <f t="shared" ref="F19:S19" si="5">IFERROR((F11+F16)*$D19,0)</f>
        <v>0</v>
      </c>
      <c r="G19" s="1010">
        <f t="shared" si="5"/>
        <v>0</v>
      </c>
      <c r="H19" s="1010">
        <f t="shared" si="5"/>
        <v>0</v>
      </c>
      <c r="I19" s="1010">
        <f t="shared" si="5"/>
        <v>0</v>
      </c>
      <c r="J19" s="1010">
        <f t="shared" si="5"/>
        <v>0</v>
      </c>
      <c r="K19" s="1010">
        <f t="shared" si="5"/>
        <v>0</v>
      </c>
      <c r="L19" s="1010">
        <f t="shared" si="5"/>
        <v>0</v>
      </c>
      <c r="M19" s="1010">
        <f t="shared" si="5"/>
        <v>0</v>
      </c>
      <c r="N19" s="1010">
        <f t="shared" si="5"/>
        <v>0</v>
      </c>
      <c r="O19" s="1010">
        <f t="shared" si="5"/>
        <v>0</v>
      </c>
      <c r="P19" s="1010">
        <f t="shared" si="5"/>
        <v>0</v>
      </c>
      <c r="Q19" s="1010">
        <f t="shared" si="5"/>
        <v>0</v>
      </c>
      <c r="R19" s="1010">
        <f t="shared" si="5"/>
        <v>0</v>
      </c>
      <c r="S19" s="1011">
        <f t="shared" si="5"/>
        <v>0</v>
      </c>
      <c r="T19" s="190"/>
      <c r="U19" s="488"/>
      <c r="V19" s="486"/>
      <c r="W19" s="486"/>
      <c r="X19" s="486"/>
      <c r="Y19" s="486"/>
      <c r="Z19" s="486"/>
      <c r="AA19" s="487"/>
    </row>
    <row r="20" spans="1:27" x14ac:dyDescent="0.25">
      <c r="A20">
        <f t="shared" si="1"/>
        <v>13</v>
      </c>
      <c r="C20" s="1008" t="s">
        <v>27</v>
      </c>
      <c r="D20" s="1021">
        <f>'Inc &amp; Exp'!F23</f>
        <v>0.1</v>
      </c>
      <c r="E20" s="1010">
        <f t="shared" ref="E20:S20" si="6">IFERROR((E12+E17)*$D20,0)</f>
        <v>0</v>
      </c>
      <c r="F20" s="1010">
        <f t="shared" si="6"/>
        <v>0</v>
      </c>
      <c r="G20" s="1010">
        <f t="shared" si="6"/>
        <v>0</v>
      </c>
      <c r="H20" s="1010">
        <f t="shared" si="6"/>
        <v>0</v>
      </c>
      <c r="I20" s="1010">
        <f t="shared" si="6"/>
        <v>0</v>
      </c>
      <c r="J20" s="1010">
        <f t="shared" si="6"/>
        <v>0</v>
      </c>
      <c r="K20" s="1010">
        <f t="shared" si="6"/>
        <v>0</v>
      </c>
      <c r="L20" s="1010">
        <f t="shared" si="6"/>
        <v>0</v>
      </c>
      <c r="M20" s="1010">
        <f t="shared" si="6"/>
        <v>0</v>
      </c>
      <c r="N20" s="1010">
        <f t="shared" si="6"/>
        <v>0</v>
      </c>
      <c r="O20" s="1010">
        <f t="shared" si="6"/>
        <v>0</v>
      </c>
      <c r="P20" s="1010">
        <f t="shared" si="6"/>
        <v>0</v>
      </c>
      <c r="Q20" s="1010">
        <f t="shared" si="6"/>
        <v>0</v>
      </c>
      <c r="R20" s="1010">
        <f t="shared" si="6"/>
        <v>0</v>
      </c>
      <c r="S20" s="1011">
        <f t="shared" si="6"/>
        <v>0</v>
      </c>
      <c r="T20" s="190"/>
      <c r="U20" s="488"/>
      <c r="V20" s="486"/>
      <c r="W20" s="486"/>
      <c r="X20" s="486"/>
      <c r="Y20" s="486"/>
      <c r="Z20" s="486"/>
      <c r="AA20" s="487"/>
    </row>
    <row r="21" spans="1:27" ht="15.75" thickBot="1" x14ac:dyDescent="0.3">
      <c r="A21">
        <f t="shared" si="1"/>
        <v>14</v>
      </c>
      <c r="C21" s="1012" t="s">
        <v>28</v>
      </c>
      <c r="D21" s="1022">
        <f>'Inc &amp; Exp'!F24</f>
        <v>0.05</v>
      </c>
      <c r="E21" s="1014">
        <f t="shared" ref="E21:S21" si="7">IFERROR((E13+E18)*$D21,0)</f>
        <v>0</v>
      </c>
      <c r="F21" s="1014">
        <f t="shared" si="7"/>
        <v>0</v>
      </c>
      <c r="G21" s="1014">
        <f t="shared" si="7"/>
        <v>0</v>
      </c>
      <c r="H21" s="1014">
        <f t="shared" si="7"/>
        <v>0</v>
      </c>
      <c r="I21" s="1014">
        <f t="shared" si="7"/>
        <v>0</v>
      </c>
      <c r="J21" s="1014">
        <f t="shared" si="7"/>
        <v>0</v>
      </c>
      <c r="K21" s="1014">
        <f t="shared" si="7"/>
        <v>0</v>
      </c>
      <c r="L21" s="1014">
        <f t="shared" si="7"/>
        <v>0</v>
      </c>
      <c r="M21" s="1014">
        <f t="shared" si="7"/>
        <v>0</v>
      </c>
      <c r="N21" s="1014">
        <f t="shared" si="7"/>
        <v>0</v>
      </c>
      <c r="O21" s="1014">
        <f t="shared" si="7"/>
        <v>0</v>
      </c>
      <c r="P21" s="1014">
        <f t="shared" si="7"/>
        <v>0</v>
      </c>
      <c r="Q21" s="1014">
        <f t="shared" si="7"/>
        <v>0</v>
      </c>
      <c r="R21" s="1014">
        <f t="shared" si="7"/>
        <v>0</v>
      </c>
      <c r="S21" s="1015">
        <f t="shared" si="7"/>
        <v>0</v>
      </c>
      <c r="T21" s="190"/>
      <c r="U21" s="488"/>
      <c r="V21" s="486"/>
      <c r="W21" s="486"/>
      <c r="X21" s="486"/>
      <c r="Y21" s="486"/>
      <c r="Z21" s="486"/>
      <c r="AA21" s="487"/>
    </row>
    <row r="22" spans="1:27" x14ac:dyDescent="0.25">
      <c r="A22">
        <f t="shared" si="1"/>
        <v>15</v>
      </c>
      <c r="C22" s="668" t="s">
        <v>29</v>
      </c>
      <c r="D22" s="1016"/>
      <c r="E22" s="752">
        <f>SUM(E19:E21)</f>
        <v>0</v>
      </c>
      <c r="F22" s="752">
        <f t="shared" ref="F22:S22" si="8">SUM(F19:F21)</f>
        <v>0</v>
      </c>
      <c r="G22" s="752">
        <f t="shared" si="8"/>
        <v>0</v>
      </c>
      <c r="H22" s="752">
        <f t="shared" si="8"/>
        <v>0</v>
      </c>
      <c r="I22" s="752">
        <f t="shared" si="8"/>
        <v>0</v>
      </c>
      <c r="J22" s="752">
        <f t="shared" si="8"/>
        <v>0</v>
      </c>
      <c r="K22" s="752">
        <f t="shared" si="8"/>
        <v>0</v>
      </c>
      <c r="L22" s="752">
        <f t="shared" si="8"/>
        <v>0</v>
      </c>
      <c r="M22" s="752">
        <f t="shared" si="8"/>
        <v>0</v>
      </c>
      <c r="N22" s="752">
        <f t="shared" si="8"/>
        <v>0</v>
      </c>
      <c r="O22" s="752">
        <f t="shared" si="8"/>
        <v>0</v>
      </c>
      <c r="P22" s="752">
        <f t="shared" si="8"/>
        <v>0</v>
      </c>
      <c r="Q22" s="752">
        <f t="shared" si="8"/>
        <v>0</v>
      </c>
      <c r="R22" s="752">
        <f t="shared" si="8"/>
        <v>0</v>
      </c>
      <c r="S22" s="1017">
        <f t="shared" si="8"/>
        <v>0</v>
      </c>
      <c r="T22" s="190"/>
      <c r="U22" s="488"/>
      <c r="V22" s="486"/>
      <c r="W22" s="486"/>
      <c r="X22" s="486"/>
      <c r="Y22" s="486"/>
      <c r="Z22" s="486"/>
      <c r="AA22" s="487"/>
    </row>
    <row r="23" spans="1:27" ht="15.75" thickBot="1" x14ac:dyDescent="0.3">
      <c r="A23">
        <f t="shared" si="1"/>
        <v>16</v>
      </c>
      <c r="C23" s="1012"/>
      <c r="D23" s="1023"/>
      <c r="E23" s="1014"/>
      <c r="F23" s="1014"/>
      <c r="G23" s="1014"/>
      <c r="H23" s="1014"/>
      <c r="I23" s="1014"/>
      <c r="J23" s="1014"/>
      <c r="K23" s="1014"/>
      <c r="L23" s="1014"/>
      <c r="M23" s="1014"/>
      <c r="N23" s="1014"/>
      <c r="O23" s="1014"/>
      <c r="P23" s="1014"/>
      <c r="Q23" s="1014"/>
      <c r="R23" s="1014"/>
      <c r="S23" s="1015"/>
      <c r="T23" s="190"/>
      <c r="U23" s="488"/>
      <c r="V23" s="486"/>
      <c r="W23" s="486"/>
      <c r="X23" s="486"/>
      <c r="Y23" s="486"/>
      <c r="Z23" s="486"/>
      <c r="AA23" s="487"/>
    </row>
    <row r="24" spans="1:27" x14ac:dyDescent="0.25">
      <c r="A24">
        <f t="shared" si="1"/>
        <v>17</v>
      </c>
      <c r="C24" s="1024" t="s">
        <v>30</v>
      </c>
      <c r="D24" s="1016"/>
      <c r="E24" s="752">
        <f t="shared" ref="E24:S24" si="9">E14+E16-E22</f>
        <v>0</v>
      </c>
      <c r="F24" s="752">
        <f t="shared" si="9"/>
        <v>0</v>
      </c>
      <c r="G24" s="752">
        <f t="shared" si="9"/>
        <v>0</v>
      </c>
      <c r="H24" s="752">
        <f t="shared" si="9"/>
        <v>0</v>
      </c>
      <c r="I24" s="752">
        <f t="shared" si="9"/>
        <v>0</v>
      </c>
      <c r="J24" s="752">
        <f t="shared" si="9"/>
        <v>0</v>
      </c>
      <c r="K24" s="752">
        <f t="shared" si="9"/>
        <v>0</v>
      </c>
      <c r="L24" s="752">
        <f t="shared" si="9"/>
        <v>0</v>
      </c>
      <c r="M24" s="752">
        <f t="shared" si="9"/>
        <v>0</v>
      </c>
      <c r="N24" s="752">
        <f t="shared" si="9"/>
        <v>0</v>
      </c>
      <c r="O24" s="752">
        <f t="shared" si="9"/>
        <v>0</v>
      </c>
      <c r="P24" s="752">
        <f t="shared" si="9"/>
        <v>0</v>
      </c>
      <c r="Q24" s="752">
        <f t="shared" si="9"/>
        <v>0</v>
      </c>
      <c r="R24" s="752">
        <f t="shared" si="9"/>
        <v>0</v>
      </c>
      <c r="S24" s="1017">
        <f t="shared" si="9"/>
        <v>0</v>
      </c>
      <c r="T24" s="190"/>
      <c r="U24" s="488"/>
      <c r="V24" s="486"/>
      <c r="W24" s="486"/>
      <c r="X24" s="486"/>
      <c r="Y24" s="486"/>
      <c r="Z24" s="486"/>
      <c r="AA24" s="487"/>
    </row>
    <row r="25" spans="1:27" x14ac:dyDescent="0.25">
      <c r="A25">
        <f t="shared" si="1"/>
        <v>18</v>
      </c>
      <c r="C25" s="1008"/>
      <c r="D25" s="1018"/>
      <c r="E25" s="1010"/>
      <c r="F25" s="1010"/>
      <c r="G25" s="1010"/>
      <c r="H25" s="1010"/>
      <c r="I25" s="1010"/>
      <c r="J25" s="1010"/>
      <c r="K25" s="1010"/>
      <c r="L25" s="1010"/>
      <c r="M25" s="1010"/>
      <c r="N25" s="1010"/>
      <c r="O25" s="1010"/>
      <c r="P25" s="1010"/>
      <c r="Q25" s="1010"/>
      <c r="R25" s="1010"/>
      <c r="S25" s="1011"/>
      <c r="T25" s="190"/>
      <c r="U25" s="488"/>
      <c r="V25" s="486"/>
      <c r="W25" s="486"/>
      <c r="X25" s="486"/>
      <c r="Y25" s="486"/>
      <c r="Z25" s="486"/>
      <c r="AA25" s="487"/>
    </row>
    <row r="26" spans="1:27" x14ac:dyDescent="0.25">
      <c r="A26">
        <f t="shared" si="1"/>
        <v>19</v>
      </c>
      <c r="C26" s="1005" t="s">
        <v>15</v>
      </c>
      <c r="D26" s="1020"/>
      <c r="E26" s="961"/>
      <c r="F26" s="961"/>
      <c r="G26" s="1010"/>
      <c r="H26" s="1010"/>
      <c r="I26" s="1010"/>
      <c r="J26" s="1010"/>
      <c r="K26" s="1010"/>
      <c r="L26" s="1010"/>
      <c r="M26" s="1010"/>
      <c r="N26" s="1010"/>
      <c r="O26" s="1010"/>
      <c r="P26" s="1010"/>
      <c r="Q26" s="1010"/>
      <c r="R26" s="1010"/>
      <c r="S26" s="1011"/>
      <c r="T26" s="190"/>
      <c r="U26" s="488"/>
      <c r="V26" s="486"/>
      <c r="W26" s="486"/>
      <c r="X26" s="486"/>
      <c r="Y26" s="486"/>
      <c r="Z26" s="486"/>
      <c r="AA26" s="487"/>
    </row>
    <row r="27" spans="1:27" x14ac:dyDescent="0.25">
      <c r="A27">
        <f t="shared" si="1"/>
        <v>20</v>
      </c>
      <c r="C27" s="1025" t="s">
        <v>109</v>
      </c>
      <c r="D27" s="1009">
        <f>S1</f>
        <v>0.02</v>
      </c>
      <c r="E27" s="1010">
        <f>'Inc &amp; Exp'!G30*('Cash Flow'!$D27+1)^'Cash Flow'!$S$4</f>
        <v>0</v>
      </c>
      <c r="F27" s="1010">
        <f>E27*(1+$D27)</f>
        <v>0</v>
      </c>
      <c r="G27" s="1010">
        <f t="shared" ref="G27" si="10">F27*(1+$D27)</f>
        <v>0</v>
      </c>
      <c r="H27" s="1010">
        <f t="shared" ref="H27" si="11">G27*(1+$D27)</f>
        <v>0</v>
      </c>
      <c r="I27" s="1010">
        <f t="shared" ref="I27" si="12">H27*(1+$D27)</f>
        <v>0</v>
      </c>
      <c r="J27" s="1010">
        <f t="shared" ref="J27" si="13">I27*(1+$D27)</f>
        <v>0</v>
      </c>
      <c r="K27" s="1010">
        <f t="shared" ref="K27" si="14">J27*(1+$D27)</f>
        <v>0</v>
      </c>
      <c r="L27" s="1010">
        <f t="shared" ref="L27" si="15">K27*(1+$D27)</f>
        <v>0</v>
      </c>
      <c r="M27" s="1010">
        <f t="shared" ref="M27" si="16">L27*(1+$D27)</f>
        <v>0</v>
      </c>
      <c r="N27" s="1010">
        <f t="shared" ref="N27" si="17">M27*(1+$D27)</f>
        <v>0</v>
      </c>
      <c r="O27" s="1010">
        <f t="shared" ref="O27" si="18">N27*(1+$D27)</f>
        <v>0</v>
      </c>
      <c r="P27" s="1010">
        <f t="shared" ref="P27" si="19">O27*(1+$D27)</f>
        <v>0</v>
      </c>
      <c r="Q27" s="1010">
        <f t="shared" ref="Q27" si="20">P27*(1+$D27)</f>
        <v>0</v>
      </c>
      <c r="R27" s="1010">
        <f t="shared" ref="R27" si="21">Q27*(1+$D27)</f>
        <v>0</v>
      </c>
      <c r="S27" s="1011">
        <f t="shared" ref="S27" si="22">R27*(1+$D27)</f>
        <v>0</v>
      </c>
      <c r="T27" s="190"/>
      <c r="U27" s="488"/>
      <c r="V27" s="486"/>
      <c r="W27" s="486"/>
      <c r="X27" s="486"/>
      <c r="Y27" s="486"/>
      <c r="Z27" s="486"/>
      <c r="AA27" s="487"/>
    </row>
    <row r="28" spans="1:27" x14ac:dyDescent="0.25">
      <c r="A28">
        <f t="shared" si="1"/>
        <v>21</v>
      </c>
      <c r="C28" s="1008" t="s">
        <v>16</v>
      </c>
      <c r="D28" s="1009">
        <f>S2</f>
        <v>0.03</v>
      </c>
      <c r="E28" s="1010">
        <f>'Inc &amp; Exp'!G31*('Cash Flow'!$D28+1)^'Cash Flow'!$S$4</f>
        <v>0</v>
      </c>
      <c r="F28" s="1010">
        <f t="shared" ref="F28:S32" si="23">E28*(1+$D28)</f>
        <v>0</v>
      </c>
      <c r="G28" s="1010">
        <f t="shared" si="23"/>
        <v>0</v>
      </c>
      <c r="H28" s="1010">
        <f t="shared" si="23"/>
        <v>0</v>
      </c>
      <c r="I28" s="1010">
        <f t="shared" si="23"/>
        <v>0</v>
      </c>
      <c r="J28" s="1010">
        <f t="shared" si="23"/>
        <v>0</v>
      </c>
      <c r="K28" s="1010">
        <f t="shared" si="23"/>
        <v>0</v>
      </c>
      <c r="L28" s="1010">
        <f t="shared" si="23"/>
        <v>0</v>
      </c>
      <c r="M28" s="1010">
        <f t="shared" si="23"/>
        <v>0</v>
      </c>
      <c r="N28" s="1010">
        <f t="shared" si="23"/>
        <v>0</v>
      </c>
      <c r="O28" s="1010">
        <f t="shared" si="23"/>
        <v>0</v>
      </c>
      <c r="P28" s="1010">
        <f t="shared" si="23"/>
        <v>0</v>
      </c>
      <c r="Q28" s="1010">
        <f t="shared" si="23"/>
        <v>0</v>
      </c>
      <c r="R28" s="1010">
        <f t="shared" si="23"/>
        <v>0</v>
      </c>
      <c r="S28" s="1011">
        <f t="shared" si="23"/>
        <v>0</v>
      </c>
      <c r="T28" s="190"/>
      <c r="U28" s="488"/>
      <c r="V28" s="486"/>
      <c r="W28" s="486"/>
      <c r="X28" s="486"/>
      <c r="Y28" s="486"/>
      <c r="Z28" s="486"/>
      <c r="AA28" s="487"/>
    </row>
    <row r="29" spans="1:27" x14ac:dyDescent="0.25">
      <c r="A29">
        <f t="shared" si="1"/>
        <v>22</v>
      </c>
      <c r="C29" s="1008" t="s">
        <v>17</v>
      </c>
      <c r="D29" s="1009">
        <f>S2</f>
        <v>0.03</v>
      </c>
      <c r="E29" s="1010">
        <f>'Inc &amp; Exp'!G32*('Cash Flow'!$D29+1)^'Cash Flow'!$S$4</f>
        <v>0</v>
      </c>
      <c r="F29" s="1010">
        <f t="shared" si="23"/>
        <v>0</v>
      </c>
      <c r="G29" s="1010">
        <f t="shared" si="23"/>
        <v>0</v>
      </c>
      <c r="H29" s="1010">
        <f t="shared" si="23"/>
        <v>0</v>
      </c>
      <c r="I29" s="1010">
        <f t="shared" si="23"/>
        <v>0</v>
      </c>
      <c r="J29" s="1010">
        <f t="shared" si="23"/>
        <v>0</v>
      </c>
      <c r="K29" s="1010">
        <f t="shared" si="23"/>
        <v>0</v>
      </c>
      <c r="L29" s="1010">
        <f t="shared" si="23"/>
        <v>0</v>
      </c>
      <c r="M29" s="1010">
        <f t="shared" si="23"/>
        <v>0</v>
      </c>
      <c r="N29" s="1010">
        <f t="shared" si="23"/>
        <v>0</v>
      </c>
      <c r="O29" s="1010">
        <f t="shared" si="23"/>
        <v>0</v>
      </c>
      <c r="P29" s="1010">
        <f t="shared" si="23"/>
        <v>0</v>
      </c>
      <c r="Q29" s="1010">
        <f t="shared" si="23"/>
        <v>0</v>
      </c>
      <c r="R29" s="1010">
        <f t="shared" si="23"/>
        <v>0</v>
      </c>
      <c r="S29" s="1011">
        <f t="shared" si="23"/>
        <v>0</v>
      </c>
      <c r="T29" s="190"/>
      <c r="U29" s="488"/>
      <c r="V29" s="486"/>
      <c r="W29" s="486"/>
      <c r="X29" s="486"/>
      <c r="Y29" s="486"/>
      <c r="Z29" s="486"/>
      <c r="AA29" s="487"/>
    </row>
    <row r="30" spans="1:27" x14ac:dyDescent="0.25">
      <c r="A30">
        <f t="shared" si="1"/>
        <v>23</v>
      </c>
      <c r="C30" s="1008" t="s">
        <v>18</v>
      </c>
      <c r="D30" s="1009">
        <f>S3</f>
        <v>0.03</v>
      </c>
      <c r="E30" s="1010">
        <f>'Inc &amp; Exp'!G33*('Cash Flow'!$D30+1)^'Cash Flow'!$S$4</f>
        <v>0</v>
      </c>
      <c r="F30" s="1010">
        <f t="shared" si="23"/>
        <v>0</v>
      </c>
      <c r="G30" s="1010">
        <f t="shared" si="23"/>
        <v>0</v>
      </c>
      <c r="H30" s="1010">
        <f t="shared" si="23"/>
        <v>0</v>
      </c>
      <c r="I30" s="1010">
        <f t="shared" si="23"/>
        <v>0</v>
      </c>
      <c r="J30" s="1010">
        <f t="shared" si="23"/>
        <v>0</v>
      </c>
      <c r="K30" s="1010">
        <f t="shared" si="23"/>
        <v>0</v>
      </c>
      <c r="L30" s="1010">
        <f t="shared" si="23"/>
        <v>0</v>
      </c>
      <c r="M30" s="1010">
        <f t="shared" si="23"/>
        <v>0</v>
      </c>
      <c r="N30" s="1010">
        <f t="shared" si="23"/>
        <v>0</v>
      </c>
      <c r="O30" s="1010">
        <f t="shared" si="23"/>
        <v>0</v>
      </c>
      <c r="P30" s="1010">
        <f t="shared" si="23"/>
        <v>0</v>
      </c>
      <c r="Q30" s="1010">
        <f t="shared" si="23"/>
        <v>0</v>
      </c>
      <c r="R30" s="1010">
        <f t="shared" si="23"/>
        <v>0</v>
      </c>
      <c r="S30" s="1011">
        <f t="shared" si="23"/>
        <v>0</v>
      </c>
      <c r="T30" s="190"/>
      <c r="U30" s="488"/>
      <c r="V30" s="486"/>
      <c r="W30" s="486"/>
      <c r="X30" s="486"/>
      <c r="Y30" s="486"/>
      <c r="Z30" s="486"/>
      <c r="AA30" s="487"/>
    </row>
    <row r="31" spans="1:27" x14ac:dyDescent="0.25">
      <c r="A31">
        <f t="shared" si="1"/>
        <v>24</v>
      </c>
      <c r="C31" s="1008" t="s">
        <v>19</v>
      </c>
      <c r="D31" s="1009">
        <f>S3</f>
        <v>0.03</v>
      </c>
      <c r="E31" s="1010">
        <f>'Inc &amp; Exp'!G34*('Cash Flow'!$D31+1)^'Cash Flow'!$S$4</f>
        <v>0</v>
      </c>
      <c r="F31" s="1010">
        <f t="shared" si="23"/>
        <v>0</v>
      </c>
      <c r="G31" s="1010">
        <f t="shared" si="23"/>
        <v>0</v>
      </c>
      <c r="H31" s="1010">
        <f t="shared" si="23"/>
        <v>0</v>
      </c>
      <c r="I31" s="1010">
        <f t="shared" si="23"/>
        <v>0</v>
      </c>
      <c r="J31" s="1010">
        <f t="shared" si="23"/>
        <v>0</v>
      </c>
      <c r="K31" s="1010">
        <f t="shared" si="23"/>
        <v>0</v>
      </c>
      <c r="L31" s="1010">
        <f t="shared" si="23"/>
        <v>0</v>
      </c>
      <c r="M31" s="1010">
        <f t="shared" si="23"/>
        <v>0</v>
      </c>
      <c r="N31" s="1010">
        <f t="shared" si="23"/>
        <v>0</v>
      </c>
      <c r="O31" s="1010">
        <f t="shared" si="23"/>
        <v>0</v>
      </c>
      <c r="P31" s="1010">
        <f t="shared" si="23"/>
        <v>0</v>
      </c>
      <c r="Q31" s="1010">
        <f t="shared" si="23"/>
        <v>0</v>
      </c>
      <c r="R31" s="1010">
        <f t="shared" si="23"/>
        <v>0</v>
      </c>
      <c r="S31" s="1011">
        <f t="shared" si="23"/>
        <v>0</v>
      </c>
      <c r="T31" s="190"/>
      <c r="U31" s="488"/>
      <c r="V31" s="486"/>
      <c r="W31" s="486"/>
      <c r="X31" s="486"/>
      <c r="Y31" s="486"/>
      <c r="Z31" s="486"/>
      <c r="AA31" s="487"/>
    </row>
    <row r="32" spans="1:27" x14ac:dyDescent="0.25">
      <c r="A32">
        <f t="shared" si="1"/>
        <v>25</v>
      </c>
      <c r="C32" s="1008" t="s">
        <v>20</v>
      </c>
      <c r="D32" s="1009">
        <f>S3</f>
        <v>0.03</v>
      </c>
      <c r="E32" s="1010">
        <f>'Inc &amp; Exp'!G35*('Cash Flow'!$D32+1)^'Cash Flow'!$S$4</f>
        <v>0</v>
      </c>
      <c r="F32" s="1010">
        <f t="shared" si="23"/>
        <v>0</v>
      </c>
      <c r="G32" s="1010">
        <f t="shared" si="23"/>
        <v>0</v>
      </c>
      <c r="H32" s="1010">
        <f t="shared" si="23"/>
        <v>0</v>
      </c>
      <c r="I32" s="1010">
        <f t="shared" si="23"/>
        <v>0</v>
      </c>
      <c r="J32" s="1010">
        <f t="shared" si="23"/>
        <v>0</v>
      </c>
      <c r="K32" s="1010">
        <f t="shared" si="23"/>
        <v>0</v>
      </c>
      <c r="L32" s="1010">
        <f t="shared" si="23"/>
        <v>0</v>
      </c>
      <c r="M32" s="1010">
        <f t="shared" si="23"/>
        <v>0</v>
      </c>
      <c r="N32" s="1010">
        <f t="shared" si="23"/>
        <v>0</v>
      </c>
      <c r="O32" s="1010">
        <f t="shared" si="23"/>
        <v>0</v>
      </c>
      <c r="P32" s="1010">
        <f t="shared" si="23"/>
        <v>0</v>
      </c>
      <c r="Q32" s="1010">
        <f t="shared" si="23"/>
        <v>0</v>
      </c>
      <c r="R32" s="1010">
        <f t="shared" si="23"/>
        <v>0</v>
      </c>
      <c r="S32" s="1011">
        <f t="shared" si="23"/>
        <v>0</v>
      </c>
      <c r="T32" s="190"/>
      <c r="U32" s="488"/>
      <c r="V32" s="486"/>
      <c r="W32" s="486"/>
      <c r="X32" s="486"/>
      <c r="Y32" s="486"/>
      <c r="Z32" s="486"/>
      <c r="AA32" s="487"/>
    </row>
    <row r="33" spans="1:27" x14ac:dyDescent="0.25">
      <c r="A33">
        <f t="shared" si="1"/>
        <v>26</v>
      </c>
      <c r="C33" s="1026" t="s">
        <v>22</v>
      </c>
      <c r="D33" s="1009">
        <f>S3</f>
        <v>0.03</v>
      </c>
      <c r="E33" s="1019">
        <f>'Inc &amp; Exp'!G38*('Cash Flow'!$D33+1)^'Cash Flow'!$S$4</f>
        <v>0</v>
      </c>
      <c r="F33" s="1019">
        <f t="shared" ref="F33:S33" si="24">E33*(1+$D33)</f>
        <v>0</v>
      </c>
      <c r="G33" s="1019">
        <f t="shared" si="24"/>
        <v>0</v>
      </c>
      <c r="H33" s="1019">
        <f t="shared" si="24"/>
        <v>0</v>
      </c>
      <c r="I33" s="1019">
        <f t="shared" si="24"/>
        <v>0</v>
      </c>
      <c r="J33" s="1019">
        <f t="shared" si="24"/>
        <v>0</v>
      </c>
      <c r="K33" s="1019">
        <f t="shared" si="24"/>
        <v>0</v>
      </c>
      <c r="L33" s="1019">
        <f t="shared" si="24"/>
        <v>0</v>
      </c>
      <c r="M33" s="1019">
        <f t="shared" si="24"/>
        <v>0</v>
      </c>
      <c r="N33" s="1019">
        <f t="shared" si="24"/>
        <v>0</v>
      </c>
      <c r="O33" s="1019">
        <f t="shared" si="24"/>
        <v>0</v>
      </c>
      <c r="P33" s="1019">
        <f t="shared" si="24"/>
        <v>0</v>
      </c>
      <c r="Q33" s="1019">
        <f t="shared" si="24"/>
        <v>0</v>
      </c>
      <c r="R33" s="1019">
        <f t="shared" si="24"/>
        <v>0</v>
      </c>
      <c r="S33" s="1027">
        <f t="shared" si="24"/>
        <v>0</v>
      </c>
      <c r="T33" s="190"/>
      <c r="U33" s="488"/>
      <c r="V33" s="486"/>
      <c r="W33" s="486"/>
      <c r="X33" s="486"/>
      <c r="Y33" s="486"/>
      <c r="Z33" s="486"/>
      <c r="AA33" s="487"/>
    </row>
    <row r="34" spans="1:27" x14ac:dyDescent="0.25">
      <c r="A34">
        <f t="shared" si="1"/>
        <v>27</v>
      </c>
      <c r="C34" s="1008" t="s">
        <v>23</v>
      </c>
      <c r="D34" s="42">
        <v>0</v>
      </c>
      <c r="E34" s="1010">
        <f>'Inc &amp; Exp'!G39*('Cash Flow'!$D34+1)^'Cash Flow'!$S$4</f>
        <v>0</v>
      </c>
      <c r="F34" s="1010">
        <f t="shared" ref="F34:S34" si="25">E34*(1+$D34)</f>
        <v>0</v>
      </c>
      <c r="G34" s="1010">
        <f t="shared" si="25"/>
        <v>0</v>
      </c>
      <c r="H34" s="1010">
        <f t="shared" si="25"/>
        <v>0</v>
      </c>
      <c r="I34" s="1010">
        <f t="shared" si="25"/>
        <v>0</v>
      </c>
      <c r="J34" s="1010">
        <f t="shared" si="25"/>
        <v>0</v>
      </c>
      <c r="K34" s="1010">
        <f t="shared" si="25"/>
        <v>0</v>
      </c>
      <c r="L34" s="1010">
        <f t="shared" si="25"/>
        <v>0</v>
      </c>
      <c r="M34" s="1010">
        <f t="shared" si="25"/>
        <v>0</v>
      </c>
      <c r="N34" s="1010">
        <f t="shared" si="25"/>
        <v>0</v>
      </c>
      <c r="O34" s="1010">
        <f t="shared" si="25"/>
        <v>0</v>
      </c>
      <c r="P34" s="1010">
        <f t="shared" si="25"/>
        <v>0</v>
      </c>
      <c r="Q34" s="1010">
        <f t="shared" si="25"/>
        <v>0</v>
      </c>
      <c r="R34" s="1010">
        <f t="shared" si="25"/>
        <v>0</v>
      </c>
      <c r="S34" s="1011">
        <f t="shared" si="25"/>
        <v>0</v>
      </c>
      <c r="T34" s="190"/>
      <c r="U34" s="488"/>
      <c r="V34" s="486"/>
      <c r="W34" s="486"/>
      <c r="X34" s="486"/>
      <c r="Y34" s="486"/>
      <c r="Z34" s="486"/>
      <c r="AA34" s="487"/>
    </row>
    <row r="35" spans="1:27" ht="15.75" thickBot="1" x14ac:dyDescent="0.3">
      <c r="A35">
        <f t="shared" si="1"/>
        <v>28</v>
      </c>
      <c r="C35" s="1012" t="s">
        <v>13</v>
      </c>
      <c r="D35" s="1013">
        <f>S3</f>
        <v>0.03</v>
      </c>
      <c r="E35" s="1014">
        <f>'Inc &amp; Exp'!G40*('Cash Flow'!$D35+1)^'Cash Flow'!$S$4</f>
        <v>0</v>
      </c>
      <c r="F35" s="1014">
        <f t="shared" ref="F35:S35" si="26">E35*(1+$D35)</f>
        <v>0</v>
      </c>
      <c r="G35" s="1014">
        <f t="shared" si="26"/>
        <v>0</v>
      </c>
      <c r="H35" s="1014">
        <f t="shared" si="26"/>
        <v>0</v>
      </c>
      <c r="I35" s="1014">
        <f t="shared" si="26"/>
        <v>0</v>
      </c>
      <c r="J35" s="1014">
        <f t="shared" si="26"/>
        <v>0</v>
      </c>
      <c r="K35" s="1014">
        <f t="shared" si="26"/>
        <v>0</v>
      </c>
      <c r="L35" s="1014">
        <f t="shared" si="26"/>
        <v>0</v>
      </c>
      <c r="M35" s="1014">
        <f t="shared" si="26"/>
        <v>0</v>
      </c>
      <c r="N35" s="1014">
        <f t="shared" si="26"/>
        <v>0</v>
      </c>
      <c r="O35" s="1014">
        <f t="shared" si="26"/>
        <v>0</v>
      </c>
      <c r="P35" s="1014">
        <f t="shared" si="26"/>
        <v>0</v>
      </c>
      <c r="Q35" s="1014">
        <f t="shared" si="26"/>
        <v>0</v>
      </c>
      <c r="R35" s="1014">
        <f t="shared" si="26"/>
        <v>0</v>
      </c>
      <c r="S35" s="1015">
        <f t="shared" si="26"/>
        <v>0</v>
      </c>
      <c r="T35" s="190"/>
      <c r="U35" s="488"/>
      <c r="V35" s="486"/>
      <c r="W35" s="486"/>
      <c r="X35" s="486"/>
      <c r="Y35" s="486"/>
      <c r="Z35" s="486"/>
      <c r="AA35" s="487"/>
    </row>
    <row r="36" spans="1:27" x14ac:dyDescent="0.25">
      <c r="A36">
        <f t="shared" si="1"/>
        <v>29</v>
      </c>
      <c r="C36" s="668" t="s">
        <v>32</v>
      </c>
      <c r="D36" s="1016"/>
      <c r="E36" s="752">
        <f t="shared" ref="E36:S36" si="27">SUM(E27:E35)</f>
        <v>0</v>
      </c>
      <c r="F36" s="752">
        <f t="shared" si="27"/>
        <v>0</v>
      </c>
      <c r="G36" s="752">
        <f t="shared" si="27"/>
        <v>0</v>
      </c>
      <c r="H36" s="752">
        <f t="shared" si="27"/>
        <v>0</v>
      </c>
      <c r="I36" s="752">
        <f t="shared" si="27"/>
        <v>0</v>
      </c>
      <c r="J36" s="752">
        <f t="shared" si="27"/>
        <v>0</v>
      </c>
      <c r="K36" s="752">
        <f t="shared" si="27"/>
        <v>0</v>
      </c>
      <c r="L36" s="752">
        <f t="shared" si="27"/>
        <v>0</v>
      </c>
      <c r="M36" s="752">
        <f t="shared" si="27"/>
        <v>0</v>
      </c>
      <c r="N36" s="752">
        <f t="shared" si="27"/>
        <v>0</v>
      </c>
      <c r="O36" s="752">
        <f t="shared" si="27"/>
        <v>0</v>
      </c>
      <c r="P36" s="752">
        <f t="shared" si="27"/>
        <v>0</v>
      </c>
      <c r="Q36" s="752">
        <f t="shared" si="27"/>
        <v>0</v>
      </c>
      <c r="R36" s="752">
        <f t="shared" si="27"/>
        <v>0</v>
      </c>
      <c r="S36" s="1017">
        <f t="shared" si="27"/>
        <v>0</v>
      </c>
      <c r="T36" s="190"/>
      <c r="U36" s="488"/>
      <c r="V36" s="486"/>
      <c r="W36" s="486"/>
      <c r="X36" s="486"/>
      <c r="Y36" s="486"/>
      <c r="Z36" s="486"/>
      <c r="AA36" s="487"/>
    </row>
    <row r="37" spans="1:27" ht="15.75" thickBot="1" x14ac:dyDescent="0.3">
      <c r="A37">
        <f t="shared" si="1"/>
        <v>30</v>
      </c>
      <c r="C37" s="1012"/>
      <c r="D37" s="1023"/>
      <c r="E37" s="1014"/>
      <c r="F37" s="1014"/>
      <c r="G37" s="1014"/>
      <c r="H37" s="1014"/>
      <c r="I37" s="1014"/>
      <c r="J37" s="1014"/>
      <c r="K37" s="1014"/>
      <c r="L37" s="1014"/>
      <c r="M37" s="1014"/>
      <c r="N37" s="1014"/>
      <c r="O37" s="1014"/>
      <c r="P37" s="1014"/>
      <c r="Q37" s="1014"/>
      <c r="R37" s="1014"/>
      <c r="S37" s="1015"/>
      <c r="T37" s="190"/>
      <c r="U37" s="488"/>
      <c r="V37" s="486"/>
      <c r="W37" s="486"/>
      <c r="X37" s="486"/>
      <c r="Y37" s="486"/>
      <c r="Z37" s="486"/>
      <c r="AA37" s="487"/>
    </row>
    <row r="38" spans="1:27" x14ac:dyDescent="0.25">
      <c r="A38">
        <f t="shared" si="1"/>
        <v>31</v>
      </c>
      <c r="C38" s="1024" t="s">
        <v>33</v>
      </c>
      <c r="D38" s="1016"/>
      <c r="E38" s="752">
        <f t="shared" ref="E38:S38" si="28">E24-E36</f>
        <v>0</v>
      </c>
      <c r="F38" s="752">
        <f t="shared" si="28"/>
        <v>0</v>
      </c>
      <c r="G38" s="752">
        <f t="shared" si="28"/>
        <v>0</v>
      </c>
      <c r="H38" s="752">
        <f t="shared" si="28"/>
        <v>0</v>
      </c>
      <c r="I38" s="752">
        <f t="shared" si="28"/>
        <v>0</v>
      </c>
      <c r="J38" s="752">
        <f t="shared" si="28"/>
        <v>0</v>
      </c>
      <c r="K38" s="752">
        <f t="shared" si="28"/>
        <v>0</v>
      </c>
      <c r="L38" s="752">
        <f t="shared" si="28"/>
        <v>0</v>
      </c>
      <c r="M38" s="752">
        <f t="shared" si="28"/>
        <v>0</v>
      </c>
      <c r="N38" s="752">
        <f t="shared" si="28"/>
        <v>0</v>
      </c>
      <c r="O38" s="752">
        <f t="shared" si="28"/>
        <v>0</v>
      </c>
      <c r="P38" s="752">
        <f t="shared" si="28"/>
        <v>0</v>
      </c>
      <c r="Q38" s="752">
        <f t="shared" si="28"/>
        <v>0</v>
      </c>
      <c r="R38" s="752">
        <f t="shared" si="28"/>
        <v>0</v>
      </c>
      <c r="S38" s="1017">
        <f t="shared" si="28"/>
        <v>0</v>
      </c>
      <c r="T38" s="190"/>
      <c r="U38" s="488"/>
      <c r="V38" s="486"/>
      <c r="W38" s="486"/>
      <c r="X38" s="486"/>
      <c r="Y38" s="486"/>
      <c r="Z38" s="486"/>
      <c r="AA38" s="487"/>
    </row>
    <row r="39" spans="1:27" ht="15.75" thickBot="1" x14ac:dyDescent="0.3">
      <c r="A39">
        <f t="shared" si="1"/>
        <v>32</v>
      </c>
      <c r="C39" s="1012" t="s">
        <v>45</v>
      </c>
      <c r="D39" s="1013">
        <v>0</v>
      </c>
      <c r="E39" s="1014">
        <f>IF(E8&lt;='Sources &amp; Loan Sizing'!$G$71/2,'Inc &amp; Exp'!$G$44,0)</f>
        <v>0</v>
      </c>
      <c r="F39" s="1014">
        <f>IF(F8&lt;='Sources &amp; Loan Sizing'!$G$71/2,'Inc &amp; Exp'!$G$44,0)</f>
        <v>0</v>
      </c>
      <c r="G39" s="1014">
        <f>IF(G8&lt;='Sources &amp; Loan Sizing'!$G$71/2,'Inc &amp; Exp'!$G$44,0)</f>
        <v>0</v>
      </c>
      <c r="H39" s="1014">
        <f>IF(H8&lt;='Sources &amp; Loan Sizing'!$G$71/2,'Inc &amp; Exp'!$G$44,0)</f>
        <v>0</v>
      </c>
      <c r="I39" s="1014">
        <f>IF(I8&lt;='Sources &amp; Loan Sizing'!$G$71/2,'Inc &amp; Exp'!$G$44,0)</f>
        <v>0</v>
      </c>
      <c r="J39" s="1014">
        <f>IF(J8&lt;='Sources &amp; Loan Sizing'!$G$71/2,'Inc &amp; Exp'!$G$44,0)</f>
        <v>0</v>
      </c>
      <c r="K39" s="1014">
        <f>IF(K8&lt;='Sources &amp; Loan Sizing'!$G$71/2,'Inc &amp; Exp'!$G$44,0)</f>
        <v>0</v>
      </c>
      <c r="L39" s="1014">
        <f>IF(L8&lt;='Sources &amp; Loan Sizing'!$G$71/2,'Inc &amp; Exp'!$G$44,0)</f>
        <v>0</v>
      </c>
      <c r="M39" s="1014">
        <f>IF(M8&lt;='Sources &amp; Loan Sizing'!$G$71/2,'Inc &amp; Exp'!$G$44,0)</f>
        <v>0</v>
      </c>
      <c r="N39" s="1014">
        <f>IF(N8&lt;='Sources &amp; Loan Sizing'!$G$71/2,'Inc &amp; Exp'!$G$44,0)</f>
        <v>0</v>
      </c>
      <c r="O39" s="1014">
        <f>IF(O8&lt;='Sources &amp; Loan Sizing'!$G$71/2,'Inc &amp; Exp'!$G$44,0)</f>
        <v>0</v>
      </c>
      <c r="P39" s="1014">
        <f>IF(P8&lt;='Sources &amp; Loan Sizing'!$G$71/2,'Inc &amp; Exp'!$G$44,0)</f>
        <v>0</v>
      </c>
      <c r="Q39" s="1014">
        <f>IF(Q8&lt;='Sources &amp; Loan Sizing'!$G$71/2,'Inc &amp; Exp'!$G$44,0)</f>
        <v>0</v>
      </c>
      <c r="R39" s="1014">
        <f>IF(R8&lt;='Sources &amp; Loan Sizing'!$G$71/2,'Inc &amp; Exp'!$G$44,0)</f>
        <v>0</v>
      </c>
      <c r="S39" s="1015">
        <f>IF(S8&lt;='Sources &amp; Loan Sizing'!$G$71/2,'Inc &amp; Exp'!$G$44,0)</f>
        <v>0</v>
      </c>
      <c r="T39" s="190"/>
      <c r="U39" s="488"/>
      <c r="V39" s="486"/>
      <c r="W39" s="486"/>
      <c r="X39" s="486"/>
      <c r="Y39" s="486"/>
      <c r="Z39" s="486"/>
      <c r="AA39" s="487"/>
    </row>
    <row r="40" spans="1:27" x14ac:dyDescent="0.25">
      <c r="A40">
        <f t="shared" si="1"/>
        <v>33</v>
      </c>
      <c r="C40" s="1024" t="s">
        <v>50</v>
      </c>
      <c r="D40" s="1028"/>
      <c r="E40" s="752">
        <f>E38+E39</f>
        <v>0</v>
      </c>
      <c r="F40" s="752">
        <f t="shared" ref="F40:S40" si="29">F38+F39</f>
        <v>0</v>
      </c>
      <c r="G40" s="752">
        <f t="shared" si="29"/>
        <v>0</v>
      </c>
      <c r="H40" s="752">
        <f t="shared" si="29"/>
        <v>0</v>
      </c>
      <c r="I40" s="752">
        <f t="shared" si="29"/>
        <v>0</v>
      </c>
      <c r="J40" s="752">
        <f t="shared" si="29"/>
        <v>0</v>
      </c>
      <c r="K40" s="752">
        <f t="shared" si="29"/>
        <v>0</v>
      </c>
      <c r="L40" s="752">
        <f t="shared" si="29"/>
        <v>0</v>
      </c>
      <c r="M40" s="752">
        <f t="shared" si="29"/>
        <v>0</v>
      </c>
      <c r="N40" s="752">
        <f t="shared" si="29"/>
        <v>0</v>
      </c>
      <c r="O40" s="752">
        <f t="shared" si="29"/>
        <v>0</v>
      </c>
      <c r="P40" s="752">
        <f t="shared" si="29"/>
        <v>0</v>
      </c>
      <c r="Q40" s="752">
        <f t="shared" si="29"/>
        <v>0</v>
      </c>
      <c r="R40" s="752">
        <f t="shared" si="29"/>
        <v>0</v>
      </c>
      <c r="S40" s="1017">
        <f t="shared" si="29"/>
        <v>0</v>
      </c>
      <c r="T40" s="190"/>
      <c r="U40" s="488"/>
      <c r="V40" s="486"/>
      <c r="W40" s="486"/>
      <c r="X40" s="486"/>
      <c r="Y40" s="486"/>
      <c r="Z40" s="486"/>
      <c r="AA40" s="487"/>
    </row>
    <row r="41" spans="1:27" x14ac:dyDescent="0.25">
      <c r="A41">
        <f t="shared" si="1"/>
        <v>34</v>
      </c>
      <c r="C41" s="1008"/>
      <c r="D41" s="1006"/>
      <c r="E41" s="1010"/>
      <c r="F41" s="1010"/>
      <c r="G41" s="1010"/>
      <c r="H41" s="1010"/>
      <c r="I41" s="1010"/>
      <c r="J41" s="1010"/>
      <c r="K41" s="1010"/>
      <c r="L41" s="1010"/>
      <c r="M41" s="1010"/>
      <c r="N41" s="1010"/>
      <c r="O41" s="1010"/>
      <c r="P41" s="1010"/>
      <c r="Q41" s="1010"/>
      <c r="R41" s="1010"/>
      <c r="S41" s="1011"/>
      <c r="T41" s="190"/>
      <c r="U41" s="488"/>
      <c r="V41" s="486"/>
      <c r="W41" s="486"/>
      <c r="X41" s="486"/>
      <c r="Y41" s="486"/>
      <c r="Z41" s="486"/>
      <c r="AA41" s="487"/>
    </row>
    <row r="42" spans="1:27" x14ac:dyDescent="0.25">
      <c r="A42">
        <f t="shared" si="1"/>
        <v>35</v>
      </c>
      <c r="C42" s="1005" t="s">
        <v>765</v>
      </c>
      <c r="D42" s="1006"/>
      <c r="E42" s="1010"/>
      <c r="F42" s="1010"/>
      <c r="G42" s="1010"/>
      <c r="H42" s="1010"/>
      <c r="I42" s="1010"/>
      <c r="J42" s="1010"/>
      <c r="K42" s="1010"/>
      <c r="L42" s="1010"/>
      <c r="M42" s="1010"/>
      <c r="N42" s="1010"/>
      <c r="O42" s="1010"/>
      <c r="P42" s="1010"/>
      <c r="Q42" s="1010"/>
      <c r="R42" s="1010"/>
      <c r="S42" s="1011"/>
      <c r="T42" s="190"/>
      <c r="U42" s="488"/>
      <c r="V42" s="486"/>
      <c r="W42" s="486"/>
      <c r="X42" s="486"/>
      <c r="Y42" s="486"/>
      <c r="Z42" s="486"/>
      <c r="AA42" s="487"/>
    </row>
    <row r="43" spans="1:27" x14ac:dyDescent="0.25">
      <c r="A43">
        <f t="shared" si="1"/>
        <v>36</v>
      </c>
      <c r="C43" s="1029" t="s">
        <v>37</v>
      </c>
      <c r="D43" s="1006"/>
      <c r="E43" s="1010">
        <f>IF(E8&gt;'Sources &amp; Loan Sizing'!$K$94,0,SUMIFS('Amortization Schedule'!$H$15:$H$194,'Amortization Schedule'!$B$15:$B$194,"&lt;=" &amp; 'Cash Flow'!E$8*12,'Amortization Schedule'!$B$15:$B$194,"&gt;"&amp;'Cash Flow'!D$8*12))</f>
        <v>0</v>
      </c>
      <c r="F43" s="1010">
        <f>IF(F8&gt;'Sources &amp; Loan Sizing'!$K$94,0,SUMIFS('Amortization Schedule'!$H$15:$H$194,'Amortization Schedule'!$B$15:$B$194,"&lt;=" &amp; 'Cash Flow'!F$8*12,'Amortization Schedule'!$B$15:$B$194,"&gt;"&amp;'Cash Flow'!E$8*12))</f>
        <v>0</v>
      </c>
      <c r="G43" s="1010">
        <f>IF(G8&gt;'Sources &amp; Loan Sizing'!$K$94,0,SUMIFS('Amortization Schedule'!$H$15:$H$194,'Amortization Schedule'!$B$15:$B$194,"&lt;=" &amp; 'Cash Flow'!G$8*12,'Amortization Schedule'!$B$15:$B$194,"&gt;"&amp;'Cash Flow'!F$8*12))</f>
        <v>0</v>
      </c>
      <c r="H43" s="1010">
        <f>IF(H8&gt;'Sources &amp; Loan Sizing'!$K$94,0,SUMIFS('Amortization Schedule'!$H$15:$H$194,'Amortization Schedule'!$B$15:$B$194,"&lt;=" &amp; 'Cash Flow'!H$8*12,'Amortization Schedule'!$B$15:$B$194,"&gt;"&amp;'Cash Flow'!G$8*12))</f>
        <v>0</v>
      </c>
      <c r="I43" s="1010">
        <f>IF(I8&gt;'Sources &amp; Loan Sizing'!$K$94,0,SUMIFS('Amortization Schedule'!$H$15:$H$194,'Amortization Schedule'!$B$15:$B$194,"&lt;=" &amp; 'Cash Flow'!I$8*12,'Amortization Schedule'!$B$15:$B$194,"&gt;"&amp;'Cash Flow'!H$8*12))</f>
        <v>0</v>
      </c>
      <c r="J43" s="1010">
        <f>IF(J8&gt;'Sources &amp; Loan Sizing'!$K$94,0,SUMIFS('Amortization Schedule'!$H$15:$H$194,'Amortization Schedule'!$B$15:$B$194,"&lt;=" &amp; 'Cash Flow'!J$8*12,'Amortization Schedule'!$B$15:$B$194,"&gt;"&amp;'Cash Flow'!I$8*12))</f>
        <v>0</v>
      </c>
      <c r="K43" s="1010">
        <f>IF(K8&gt;'Sources &amp; Loan Sizing'!$K$94,0,SUMIFS('Amortization Schedule'!$H$15:$H$194,'Amortization Schedule'!$B$15:$B$194,"&lt;=" &amp; 'Cash Flow'!K$8*12,'Amortization Schedule'!$B$15:$B$194,"&gt;"&amp;'Cash Flow'!J$8*12))</f>
        <v>0</v>
      </c>
      <c r="L43" s="1010">
        <f>IF(L8&gt;'Sources &amp; Loan Sizing'!$K$94,0,SUMIFS('Amortization Schedule'!$H$15:$H$194,'Amortization Schedule'!$B$15:$B$194,"&lt;=" &amp; 'Cash Flow'!L$8*12,'Amortization Schedule'!$B$15:$B$194,"&gt;"&amp;'Cash Flow'!K$8*12))</f>
        <v>0</v>
      </c>
      <c r="M43" s="1010">
        <f>IF(M8&gt;'Sources &amp; Loan Sizing'!$K$94,0,SUMIFS('Amortization Schedule'!$H$15:$H$194,'Amortization Schedule'!$B$15:$B$194,"&lt;=" &amp; 'Cash Flow'!M$8*12,'Amortization Schedule'!$B$15:$B$194,"&gt;"&amp;'Cash Flow'!L$8*12))</f>
        <v>0</v>
      </c>
      <c r="N43" s="1010">
        <f>IF(N8&gt;'Sources &amp; Loan Sizing'!$K$94,0,SUMIFS('Amortization Schedule'!$H$15:$H$194,'Amortization Schedule'!$B$15:$B$194,"&lt;=" &amp; 'Cash Flow'!N$8*12,'Amortization Schedule'!$B$15:$B$194,"&gt;"&amp;'Cash Flow'!M$8*12))</f>
        <v>0</v>
      </c>
      <c r="O43" s="1010">
        <f>IF(O8&gt;'Sources &amp; Loan Sizing'!$K$94,0,SUMIFS('Amortization Schedule'!$H$15:$H$194,'Amortization Schedule'!$B$15:$B$194,"&lt;=" &amp; 'Cash Flow'!O$8*12,'Amortization Schedule'!$B$15:$B$194,"&gt;"&amp;'Cash Flow'!N$8*12))</f>
        <v>0</v>
      </c>
      <c r="P43" s="1010">
        <f>IF(P8&gt;'Sources &amp; Loan Sizing'!$K$94,0,SUMIFS('Amortization Schedule'!$H$15:$H$194,'Amortization Schedule'!$B$15:$B$194,"&lt;=" &amp; 'Cash Flow'!P$8*12,'Amortization Schedule'!$B$15:$B$194,"&gt;"&amp;'Cash Flow'!O$8*12))</f>
        <v>0</v>
      </c>
      <c r="Q43" s="1010">
        <f>IF(Q8&gt;'Sources &amp; Loan Sizing'!$K$94,0,SUMIFS('Amortization Schedule'!$H$15:$H$194,'Amortization Schedule'!$B$15:$B$194,"&lt;=" &amp; 'Cash Flow'!Q$8*12,'Amortization Schedule'!$B$15:$B$194,"&gt;"&amp;'Cash Flow'!P$8*12))</f>
        <v>0</v>
      </c>
      <c r="R43" s="1010">
        <f>IF(R8&gt;'Sources &amp; Loan Sizing'!$K$94,0,SUMIFS('Amortization Schedule'!$H$15:$H$194,'Amortization Schedule'!$B$15:$B$194,"&lt;=" &amp; 'Cash Flow'!R$8*12,'Amortization Schedule'!$B$15:$B$194,"&gt;"&amp;'Cash Flow'!Q$8*12))</f>
        <v>0</v>
      </c>
      <c r="S43" s="1011">
        <f>IF(S8&gt;'Sources &amp; Loan Sizing'!$K$94,0,SUMIFS('Amortization Schedule'!$H$15:$H$194,'Amortization Schedule'!$B$15:$B$194,"&lt;=" &amp; 'Cash Flow'!S$8*12,'Amortization Schedule'!$B$15:$B$194,"&gt;"&amp;'Cash Flow'!R$8*12))</f>
        <v>0</v>
      </c>
      <c r="T43" s="190"/>
      <c r="U43" s="488"/>
      <c r="V43" s="486"/>
      <c r="W43" s="486"/>
      <c r="X43" s="486"/>
      <c r="Y43" s="486"/>
      <c r="Z43" s="486"/>
      <c r="AA43" s="487"/>
    </row>
    <row r="44" spans="1:27" x14ac:dyDescent="0.25">
      <c r="A44">
        <f t="shared" si="1"/>
        <v>37</v>
      </c>
      <c r="C44" s="1030" t="s">
        <v>298</v>
      </c>
      <c r="D44" s="1006"/>
      <c r="E44" s="1010">
        <f>IF(E8&gt;'Sources &amp; Loan Sizing'!$L$94,0,SUMIFS('Amortization Schedule'!$R$15:$R$194,'Amortization Schedule'!$L$15:$L$194,"&lt;=" &amp; 'Cash Flow'!E$8*12,'Amortization Schedule'!$L$15:$L$194,"&gt;"&amp;'Cash Flow'!D$8*12))</f>
        <v>0</v>
      </c>
      <c r="F44" s="1010">
        <f>IF(F8&gt;'Sources &amp; Loan Sizing'!$L$94,0,SUMIFS('Amortization Schedule'!$R$15:$R$194,'Amortization Schedule'!$L$15:$L$194,"&lt;=" &amp; 'Cash Flow'!F$8*12,'Amortization Schedule'!$L$15:$L$194,"&gt;"&amp;'Cash Flow'!E$8*12))</f>
        <v>0</v>
      </c>
      <c r="G44" s="1010">
        <f>IF(G8&gt;'Sources &amp; Loan Sizing'!$L$94,0,SUMIFS('Amortization Schedule'!$R$15:$R$194,'Amortization Schedule'!$L$15:$L$194,"&lt;=" &amp; 'Cash Flow'!G$8*12,'Amortization Schedule'!$L$15:$L$194,"&gt;"&amp;'Cash Flow'!F$8*12))</f>
        <v>0</v>
      </c>
      <c r="H44" s="1010">
        <f>IF(H8&gt;'Sources &amp; Loan Sizing'!$L$94,0,SUMIFS('Amortization Schedule'!$R$15:$R$194,'Amortization Schedule'!$L$15:$L$194,"&lt;=" &amp; 'Cash Flow'!H$8*12,'Amortization Schedule'!$L$15:$L$194,"&gt;"&amp;'Cash Flow'!G$8*12))</f>
        <v>0</v>
      </c>
      <c r="I44" s="1010">
        <f>IF(I8&gt;'Sources &amp; Loan Sizing'!$L$94,0,SUMIFS('Amortization Schedule'!$R$15:$R$194,'Amortization Schedule'!$L$15:$L$194,"&lt;=" &amp; 'Cash Flow'!I$8*12,'Amortization Schedule'!$L$15:$L$194,"&gt;"&amp;'Cash Flow'!H$8*12))</f>
        <v>0</v>
      </c>
      <c r="J44" s="1010">
        <f>IF(J8&gt;'Sources &amp; Loan Sizing'!$L$94,0,SUMIFS('Amortization Schedule'!$R$15:$R$194,'Amortization Schedule'!$L$15:$L$194,"&lt;=" &amp; 'Cash Flow'!J$8*12,'Amortization Schedule'!$L$15:$L$194,"&gt;"&amp;'Cash Flow'!I$8*12))</f>
        <v>0</v>
      </c>
      <c r="K44" s="1010">
        <f>IF(K8&gt;'Sources &amp; Loan Sizing'!$L$94,0,SUMIFS('Amortization Schedule'!$R$15:$R$194,'Amortization Schedule'!$L$15:$L$194,"&lt;=" &amp; 'Cash Flow'!K$8*12,'Amortization Schedule'!$L$15:$L$194,"&gt;"&amp;'Cash Flow'!J$8*12))</f>
        <v>0</v>
      </c>
      <c r="L44" s="1010">
        <f>IF(L8&gt;'Sources &amp; Loan Sizing'!$L$94,0,SUMIFS('Amortization Schedule'!$R$15:$R$194,'Amortization Schedule'!$L$15:$L$194,"&lt;=" &amp; 'Cash Flow'!L$8*12,'Amortization Schedule'!$L$15:$L$194,"&gt;"&amp;'Cash Flow'!K$8*12))</f>
        <v>0</v>
      </c>
      <c r="M44" s="1010">
        <f>IF(M8&gt;'Sources &amp; Loan Sizing'!$L$94,0,SUMIFS('Amortization Schedule'!$R$15:$R$194,'Amortization Schedule'!$L$15:$L$194,"&lt;=" &amp; 'Cash Flow'!M$8*12,'Amortization Schedule'!$L$15:$L$194,"&gt;"&amp;'Cash Flow'!L$8*12))</f>
        <v>0</v>
      </c>
      <c r="N44" s="1010">
        <f>IF(N8&gt;'Sources &amp; Loan Sizing'!$L$94,0,SUMIFS('Amortization Schedule'!$R$15:$R$194,'Amortization Schedule'!$L$15:$L$194,"&lt;=" &amp; 'Cash Flow'!N$8*12,'Amortization Schedule'!$L$15:$L$194,"&gt;"&amp;'Cash Flow'!M$8*12))</f>
        <v>0</v>
      </c>
      <c r="O44" s="1010">
        <f>IF(O8&gt;'Sources &amp; Loan Sizing'!$L$94,0,SUMIFS('Amortization Schedule'!$R$15:$R$194,'Amortization Schedule'!$L$15:$L$194,"&lt;=" &amp; 'Cash Flow'!O$8*12,'Amortization Schedule'!$L$15:$L$194,"&gt;"&amp;'Cash Flow'!N$8*12))</f>
        <v>0</v>
      </c>
      <c r="P44" s="1010">
        <f>IF(P8&gt;'Sources &amp; Loan Sizing'!$L$94,0,SUMIFS('Amortization Schedule'!$R$15:$R$194,'Amortization Schedule'!$L$15:$L$194,"&lt;=" &amp; 'Cash Flow'!P$8*12,'Amortization Schedule'!$L$15:$L$194,"&gt;"&amp;'Cash Flow'!O$8*12))</f>
        <v>0</v>
      </c>
      <c r="Q44" s="1010">
        <f>IF(Q8&gt;'Sources &amp; Loan Sizing'!$L$94,0,SUMIFS('Amortization Schedule'!$R$15:$R$194,'Amortization Schedule'!$L$15:$L$194,"&lt;=" &amp; 'Cash Flow'!Q$8*12,'Amortization Schedule'!$L$15:$L$194,"&gt;"&amp;'Cash Flow'!P$8*12))</f>
        <v>0</v>
      </c>
      <c r="R44" s="1010">
        <f>IF(R8&gt;'Sources &amp; Loan Sizing'!$L$94,0,SUMIFS('Amortization Schedule'!$R$15:$R$194,'Amortization Schedule'!$L$15:$L$194,"&lt;=" &amp; 'Cash Flow'!R$8*12,'Amortization Schedule'!$L$15:$L$194,"&gt;"&amp;'Cash Flow'!Q$8*12))</f>
        <v>0</v>
      </c>
      <c r="S44" s="1011">
        <f>IF(S8&gt;'Sources &amp; Loan Sizing'!$L$94,0,SUMIFS('Amortization Schedule'!$R$15:$R$194,'Amortization Schedule'!$L$15:$L$194,"&lt;=" &amp; 'Cash Flow'!S$8*12,'Amortization Schedule'!$L$15:$L$194,"&gt;"&amp;'Cash Flow'!R$8*12))</f>
        <v>0</v>
      </c>
      <c r="T44" s="190"/>
      <c r="U44" s="488"/>
      <c r="V44" s="486"/>
      <c r="W44" s="486"/>
      <c r="X44" s="486"/>
      <c r="Y44" s="486"/>
      <c r="Z44" s="486"/>
      <c r="AA44" s="487"/>
    </row>
    <row r="45" spans="1:27" x14ac:dyDescent="0.25">
      <c r="A45">
        <f t="shared" si="1"/>
        <v>38</v>
      </c>
      <c r="C45" s="1031" t="s">
        <v>102</v>
      </c>
      <c r="D45" s="1006"/>
      <c r="E45" s="1010">
        <f>IF('Sources &amp; Loan Sizing'!$M$86="x",0,IF(E8&gt;'Sources &amp; Loan Sizing'!$M$94,0,SUMIFS('Amortization Schedule'!$AB$15:$AB$194,'Amortization Schedule'!$V$15:$V$194,"&lt;=" &amp; 'Cash Flow'!E$8*12,'Amortization Schedule'!$V$15:$V$194,"&gt;"&amp;'Cash Flow'!D$8*12)))</f>
        <v>0</v>
      </c>
      <c r="F45" s="1010">
        <f>IF('Sources &amp; Loan Sizing'!$M$86="x",0,IF(F8&gt;'Sources &amp; Loan Sizing'!$M$94,0,SUMIFS('Amortization Schedule'!$AB$15:$AB$194,'Amortization Schedule'!$V$15:$V$194,"&lt;=" &amp; 'Cash Flow'!F$8*12,'Amortization Schedule'!$V$15:$V$194,"&gt;"&amp;'Cash Flow'!E$8*12)))</f>
        <v>0</v>
      </c>
      <c r="G45" s="1010">
        <f>IF('Sources &amp; Loan Sizing'!$M$86="x",0,IF(G8&gt;'Sources &amp; Loan Sizing'!$M$94,0,SUMIFS('Amortization Schedule'!$AB$15:$AB$194,'Amortization Schedule'!$V$15:$V$194,"&lt;=" &amp; 'Cash Flow'!G$8*12,'Amortization Schedule'!$V$15:$V$194,"&gt;"&amp;'Cash Flow'!F$8*12)))</f>
        <v>0</v>
      </c>
      <c r="H45" s="1010">
        <f>IF('Sources &amp; Loan Sizing'!$M$86="x",0,IF(H8&gt;'Sources &amp; Loan Sizing'!$M$94,0,SUMIFS('Amortization Schedule'!$AB$15:$AB$194,'Amortization Schedule'!$V$15:$V$194,"&lt;=" &amp; 'Cash Flow'!H$8*12,'Amortization Schedule'!$V$15:$V$194,"&gt;"&amp;'Cash Flow'!G$8*12)))</f>
        <v>0</v>
      </c>
      <c r="I45" s="1010">
        <f>IF('Sources &amp; Loan Sizing'!$M$86="x",0,IF(I8&gt;'Sources &amp; Loan Sizing'!$M$94,0,SUMIFS('Amortization Schedule'!$AB$15:$AB$194,'Amortization Schedule'!$V$15:$V$194,"&lt;=" &amp; 'Cash Flow'!I$8*12,'Amortization Schedule'!$V$15:$V$194,"&gt;"&amp;'Cash Flow'!H$8*12)))</f>
        <v>0</v>
      </c>
      <c r="J45" s="1010">
        <f>IF('Sources &amp; Loan Sizing'!$M$86="x",0,IF(J8&gt;'Sources &amp; Loan Sizing'!$M$94,0,SUMIFS('Amortization Schedule'!$AB$15:$AB$194,'Amortization Schedule'!$V$15:$V$194,"&lt;=" &amp; 'Cash Flow'!J$8*12,'Amortization Schedule'!$V$15:$V$194,"&gt;"&amp;'Cash Flow'!I$8*12)))</f>
        <v>0</v>
      </c>
      <c r="K45" s="1010">
        <f>IF('Sources &amp; Loan Sizing'!$M$86="x",0,IF(K8&gt;'Sources &amp; Loan Sizing'!$M$94,0,SUMIFS('Amortization Schedule'!$AB$15:$AB$194,'Amortization Schedule'!$V$15:$V$194,"&lt;=" &amp; 'Cash Flow'!K$8*12,'Amortization Schedule'!$V$15:$V$194,"&gt;"&amp;'Cash Flow'!J$8*12)))</f>
        <v>0</v>
      </c>
      <c r="L45" s="1010">
        <f>IF('Sources &amp; Loan Sizing'!$M$86="x",0,IF(L8&gt;'Sources &amp; Loan Sizing'!$M$94,0,SUMIFS('Amortization Schedule'!$AB$15:$AB$194,'Amortization Schedule'!$V$15:$V$194,"&lt;=" &amp; 'Cash Flow'!L$8*12,'Amortization Schedule'!$V$15:$V$194,"&gt;"&amp;'Cash Flow'!K$8*12)))</f>
        <v>0</v>
      </c>
      <c r="M45" s="1010">
        <f>IF('Sources &amp; Loan Sizing'!$M$86="x",0,IF(M8&gt;'Sources &amp; Loan Sizing'!$M$94,0,SUMIFS('Amortization Schedule'!$AB$15:$AB$194,'Amortization Schedule'!$V$15:$V$194,"&lt;=" &amp; 'Cash Flow'!M$8*12,'Amortization Schedule'!$V$15:$V$194,"&gt;"&amp;'Cash Flow'!L$8*12)))</f>
        <v>0</v>
      </c>
      <c r="N45" s="1010">
        <f>IF('Sources &amp; Loan Sizing'!$M$86="x",0,IF(N8&gt;'Sources &amp; Loan Sizing'!$M$94,0,SUMIFS('Amortization Schedule'!$AB$15:$AB$194,'Amortization Schedule'!$V$15:$V$194,"&lt;=" &amp; 'Cash Flow'!N$8*12,'Amortization Schedule'!$V$15:$V$194,"&gt;"&amp;'Cash Flow'!M$8*12)))</f>
        <v>0</v>
      </c>
      <c r="O45" s="1010">
        <f>IF('Sources &amp; Loan Sizing'!$M$86="x",0,IF(O8&gt;'Sources &amp; Loan Sizing'!$M$94,0,SUMIFS('Amortization Schedule'!$AB$15:$AB$194,'Amortization Schedule'!$V$15:$V$194,"&lt;=" &amp; 'Cash Flow'!O$8*12,'Amortization Schedule'!$V$15:$V$194,"&gt;"&amp;'Cash Flow'!N$8*12)))</f>
        <v>0</v>
      </c>
      <c r="P45" s="1010">
        <f>IF('Sources &amp; Loan Sizing'!$M$86="x",0,IF(P8&gt;'Sources &amp; Loan Sizing'!$M$94,0,SUMIFS('Amortization Schedule'!$AB$15:$AB$194,'Amortization Schedule'!$V$15:$V$194,"&lt;=" &amp; 'Cash Flow'!P$8*12,'Amortization Schedule'!$V$15:$V$194,"&gt;"&amp;'Cash Flow'!O$8*12)))</f>
        <v>0</v>
      </c>
      <c r="Q45" s="1010">
        <f>IF('Sources &amp; Loan Sizing'!$M$86="x",0,IF(Q8&gt;'Sources &amp; Loan Sizing'!$M$94,0,SUMIFS('Amortization Schedule'!$AB$15:$AB$194,'Amortization Schedule'!$V$15:$V$194,"&lt;=" &amp; 'Cash Flow'!Q$8*12,'Amortization Schedule'!$V$15:$V$194,"&gt;"&amp;'Cash Flow'!P$8*12)))</f>
        <v>0</v>
      </c>
      <c r="R45" s="1010">
        <f>IF('Sources &amp; Loan Sizing'!$M$86="x",0,IF(R8&gt;'Sources &amp; Loan Sizing'!$M$94,0,SUMIFS('Amortization Schedule'!$AB$15:$AB$194,'Amortization Schedule'!$V$15:$V$194,"&lt;=" &amp; 'Cash Flow'!R$8*12,'Amortization Schedule'!$V$15:$V$194,"&gt;"&amp;'Cash Flow'!Q$8*12)))</f>
        <v>0</v>
      </c>
      <c r="S45" s="1011">
        <f>IF('Sources &amp; Loan Sizing'!$M$86="x",0,IF(S8&gt;'Sources &amp; Loan Sizing'!$M$94,0,SUMIFS('Amortization Schedule'!$AB$15:$AB$194,'Amortization Schedule'!$V$15:$V$194,"&lt;=" &amp; 'Cash Flow'!S$8*12,'Amortization Schedule'!$V$15:$V$194,"&gt;"&amp;'Cash Flow'!R$8*12)))</f>
        <v>0</v>
      </c>
      <c r="T45" s="190"/>
      <c r="U45" s="488"/>
      <c r="V45" s="486"/>
      <c r="W45" s="486"/>
      <c r="X45" s="486"/>
      <c r="Y45" s="486"/>
      <c r="Z45" s="486"/>
      <c r="AA45" s="487"/>
    </row>
    <row r="46" spans="1:27" ht="15.75" thickBot="1" x14ac:dyDescent="0.3">
      <c r="A46">
        <f t="shared" si="1"/>
        <v>39</v>
      </c>
      <c r="C46" s="1032" t="s">
        <v>101</v>
      </c>
      <c r="D46" s="1033"/>
      <c r="E46" s="1014">
        <f>IF(ISBLANK(Summary!M161),Summary!M160,Summary!M161)</f>
        <v>0</v>
      </c>
      <c r="F46" s="1014">
        <f>E46</f>
        <v>0</v>
      </c>
      <c r="G46" s="1014">
        <f t="shared" ref="G46:R46" si="30">F46</f>
        <v>0</v>
      </c>
      <c r="H46" s="1014">
        <f t="shared" si="30"/>
        <v>0</v>
      </c>
      <c r="I46" s="1014">
        <f t="shared" si="30"/>
        <v>0</v>
      </c>
      <c r="J46" s="1014">
        <f t="shared" si="30"/>
        <v>0</v>
      </c>
      <c r="K46" s="1014">
        <f t="shared" si="30"/>
        <v>0</v>
      </c>
      <c r="L46" s="1014">
        <f t="shared" si="30"/>
        <v>0</v>
      </c>
      <c r="M46" s="1014">
        <f t="shared" si="30"/>
        <v>0</v>
      </c>
      <c r="N46" s="1014">
        <f t="shared" si="30"/>
        <v>0</v>
      </c>
      <c r="O46" s="1014">
        <f t="shared" si="30"/>
        <v>0</v>
      </c>
      <c r="P46" s="1014">
        <f t="shared" si="30"/>
        <v>0</v>
      </c>
      <c r="Q46" s="1014">
        <f t="shared" si="30"/>
        <v>0</v>
      </c>
      <c r="R46" s="1014">
        <f t="shared" si="30"/>
        <v>0</v>
      </c>
      <c r="S46" s="1015">
        <f>R46</f>
        <v>0</v>
      </c>
      <c r="T46" s="190"/>
      <c r="U46" s="488"/>
      <c r="V46" s="486"/>
      <c r="W46" s="486"/>
      <c r="X46" s="486"/>
      <c r="Y46" s="486"/>
      <c r="Z46" s="486"/>
      <c r="AA46" s="487"/>
    </row>
    <row r="47" spans="1:27" x14ac:dyDescent="0.25">
      <c r="A47">
        <f t="shared" si="1"/>
        <v>40</v>
      </c>
      <c r="C47" s="668" t="s">
        <v>52</v>
      </c>
      <c r="D47" s="1028"/>
      <c r="E47" s="752">
        <f>SUM(E43:E46)</f>
        <v>0</v>
      </c>
      <c r="F47" s="752">
        <f t="shared" ref="F47:S47" si="31">SUM(F43:F46)</f>
        <v>0</v>
      </c>
      <c r="G47" s="752">
        <f t="shared" si="31"/>
        <v>0</v>
      </c>
      <c r="H47" s="752">
        <f t="shared" si="31"/>
        <v>0</v>
      </c>
      <c r="I47" s="752">
        <f t="shared" si="31"/>
        <v>0</v>
      </c>
      <c r="J47" s="752">
        <f t="shared" si="31"/>
        <v>0</v>
      </c>
      <c r="K47" s="752">
        <f t="shared" si="31"/>
        <v>0</v>
      </c>
      <c r="L47" s="752">
        <f t="shared" si="31"/>
        <v>0</v>
      </c>
      <c r="M47" s="752">
        <f t="shared" si="31"/>
        <v>0</v>
      </c>
      <c r="N47" s="752">
        <f t="shared" si="31"/>
        <v>0</v>
      </c>
      <c r="O47" s="752">
        <f t="shared" si="31"/>
        <v>0</v>
      </c>
      <c r="P47" s="752">
        <f t="shared" si="31"/>
        <v>0</v>
      </c>
      <c r="Q47" s="752">
        <f t="shared" si="31"/>
        <v>0</v>
      </c>
      <c r="R47" s="752">
        <f t="shared" si="31"/>
        <v>0</v>
      </c>
      <c r="S47" s="1017">
        <f t="shared" si="31"/>
        <v>0</v>
      </c>
      <c r="T47" s="190"/>
      <c r="U47" s="488"/>
      <c r="V47" s="486"/>
      <c r="W47" s="486"/>
      <c r="X47" s="486"/>
      <c r="Y47" s="486"/>
      <c r="Z47" s="486"/>
      <c r="AA47" s="487"/>
    </row>
    <row r="48" spans="1:27" x14ac:dyDescent="0.25">
      <c r="A48">
        <f t="shared" si="1"/>
        <v>41</v>
      </c>
      <c r="C48" s="1034" t="s">
        <v>53</v>
      </c>
      <c r="D48" s="8"/>
      <c r="E48" s="1035">
        <f>IFERROR(E40/E47,0)</f>
        <v>0</v>
      </c>
      <c r="F48" s="1035">
        <f t="shared" ref="F48:S48" si="32">IFERROR(F40/F47,0)</f>
        <v>0</v>
      </c>
      <c r="G48" s="1035">
        <f t="shared" si="32"/>
        <v>0</v>
      </c>
      <c r="H48" s="1035">
        <f t="shared" si="32"/>
        <v>0</v>
      </c>
      <c r="I48" s="1035">
        <f t="shared" si="32"/>
        <v>0</v>
      </c>
      <c r="J48" s="1035">
        <f t="shared" si="32"/>
        <v>0</v>
      </c>
      <c r="K48" s="1035">
        <f t="shared" si="32"/>
        <v>0</v>
      </c>
      <c r="L48" s="1035">
        <f t="shared" si="32"/>
        <v>0</v>
      </c>
      <c r="M48" s="1035">
        <f t="shared" si="32"/>
        <v>0</v>
      </c>
      <c r="N48" s="1035">
        <f t="shared" si="32"/>
        <v>0</v>
      </c>
      <c r="O48" s="1035">
        <f t="shared" si="32"/>
        <v>0</v>
      </c>
      <c r="P48" s="1035">
        <f t="shared" si="32"/>
        <v>0</v>
      </c>
      <c r="Q48" s="1035">
        <f t="shared" si="32"/>
        <v>0</v>
      </c>
      <c r="R48" s="1035">
        <f t="shared" si="32"/>
        <v>0</v>
      </c>
      <c r="S48" s="1036">
        <f t="shared" si="32"/>
        <v>0</v>
      </c>
      <c r="T48" s="190"/>
      <c r="U48" s="488"/>
      <c r="V48" s="486"/>
      <c r="W48" s="486"/>
      <c r="X48" s="486"/>
      <c r="Y48" s="486"/>
      <c r="Z48" s="486"/>
      <c r="AA48" s="487"/>
    </row>
    <row r="49" spans="1:27" x14ac:dyDescent="0.25">
      <c r="A49">
        <f t="shared" si="1"/>
        <v>42</v>
      </c>
      <c r="C49" s="1037"/>
      <c r="D49" s="1038"/>
      <c r="E49" s="1039"/>
      <c r="F49" s="1039"/>
      <c r="G49" s="1039"/>
      <c r="H49" s="1039"/>
      <c r="I49" s="1039"/>
      <c r="J49" s="1039"/>
      <c r="K49" s="1039"/>
      <c r="L49" s="1039"/>
      <c r="M49" s="1039"/>
      <c r="N49" s="1039"/>
      <c r="O49" s="1039"/>
      <c r="P49" s="1039"/>
      <c r="Q49" s="1039"/>
      <c r="R49" s="1039"/>
      <c r="S49" s="1040"/>
      <c r="T49" s="190"/>
      <c r="U49" s="488"/>
      <c r="V49" s="486"/>
      <c r="W49" s="486"/>
      <c r="X49" s="486"/>
      <c r="Y49" s="486"/>
      <c r="Z49" s="486"/>
      <c r="AA49" s="487"/>
    </row>
    <row r="50" spans="1:27" x14ac:dyDescent="0.25">
      <c r="A50">
        <f t="shared" si="1"/>
        <v>43</v>
      </c>
      <c r="C50" s="1024" t="s">
        <v>67</v>
      </c>
      <c r="D50" s="1028"/>
      <c r="E50" s="752">
        <f t="shared" ref="E50:S50" si="33">E40-E47</f>
        <v>0</v>
      </c>
      <c r="F50" s="752">
        <f t="shared" si="33"/>
        <v>0</v>
      </c>
      <c r="G50" s="752">
        <f t="shared" si="33"/>
        <v>0</v>
      </c>
      <c r="H50" s="752">
        <f t="shared" si="33"/>
        <v>0</v>
      </c>
      <c r="I50" s="752">
        <f t="shared" si="33"/>
        <v>0</v>
      </c>
      <c r="J50" s="752">
        <f t="shared" si="33"/>
        <v>0</v>
      </c>
      <c r="K50" s="752">
        <f t="shared" si="33"/>
        <v>0</v>
      </c>
      <c r="L50" s="752">
        <f t="shared" si="33"/>
        <v>0</v>
      </c>
      <c r="M50" s="752">
        <f t="shared" si="33"/>
        <v>0</v>
      </c>
      <c r="N50" s="752">
        <f t="shared" si="33"/>
        <v>0</v>
      </c>
      <c r="O50" s="752">
        <f t="shared" si="33"/>
        <v>0</v>
      </c>
      <c r="P50" s="752">
        <f t="shared" si="33"/>
        <v>0</v>
      </c>
      <c r="Q50" s="752">
        <f t="shared" si="33"/>
        <v>0</v>
      </c>
      <c r="R50" s="752">
        <f t="shared" si="33"/>
        <v>0</v>
      </c>
      <c r="S50" s="1017">
        <f t="shared" si="33"/>
        <v>0</v>
      </c>
      <c r="T50" s="190"/>
      <c r="U50" s="488"/>
      <c r="V50" s="486"/>
      <c r="W50" s="486"/>
      <c r="X50" s="486"/>
      <c r="Y50" s="486"/>
      <c r="Z50" s="486"/>
      <c r="AA50" s="487"/>
    </row>
    <row r="51" spans="1:27" ht="15.75" thickBot="1" x14ac:dyDescent="0.3">
      <c r="A51">
        <f t="shared" si="1"/>
        <v>44</v>
      </c>
      <c r="C51" s="1041"/>
      <c r="D51" s="1042"/>
      <c r="E51" s="1043"/>
      <c r="F51" s="1043"/>
      <c r="G51" s="1043"/>
      <c r="H51" s="1043"/>
      <c r="I51" s="1043"/>
      <c r="J51" s="1043"/>
      <c r="K51" s="1043"/>
      <c r="L51" s="1043"/>
      <c r="M51" s="1043"/>
      <c r="N51" s="1043"/>
      <c r="O51" s="1043"/>
      <c r="P51" s="1043"/>
      <c r="Q51" s="1043"/>
      <c r="R51" s="1043"/>
      <c r="S51" s="1044"/>
      <c r="T51" s="190"/>
      <c r="U51" s="488"/>
      <c r="V51" s="486"/>
      <c r="W51" s="486"/>
      <c r="X51" s="486"/>
      <c r="Y51" s="486"/>
      <c r="Z51" s="486"/>
      <c r="AA51" s="487"/>
    </row>
    <row r="52" spans="1:27" x14ac:dyDescent="0.25">
      <c r="A52">
        <f t="shared" si="1"/>
        <v>45</v>
      </c>
      <c r="C52" s="1045" t="s">
        <v>68</v>
      </c>
      <c r="D52" s="1046" t="s">
        <v>44</v>
      </c>
      <c r="E52" s="1047" t="s">
        <v>56</v>
      </c>
      <c r="F52" s="1047" t="s">
        <v>69</v>
      </c>
      <c r="G52" s="1047" t="s">
        <v>70</v>
      </c>
      <c r="H52" s="1047" t="s">
        <v>71</v>
      </c>
      <c r="I52" s="1047" t="s">
        <v>72</v>
      </c>
      <c r="J52" s="1047" t="s">
        <v>73</v>
      </c>
      <c r="K52" s="1047" t="s">
        <v>74</v>
      </c>
      <c r="L52" s="1047" t="s">
        <v>75</v>
      </c>
      <c r="M52" s="1047" t="s">
        <v>76</v>
      </c>
      <c r="N52" s="1047" t="s">
        <v>77</v>
      </c>
      <c r="O52" s="1047" t="s">
        <v>78</v>
      </c>
      <c r="P52" s="1047" t="s">
        <v>79</v>
      </c>
      <c r="Q52" s="1047" t="s">
        <v>80</v>
      </c>
      <c r="R52" s="1047" t="s">
        <v>81</v>
      </c>
      <c r="S52" s="1048" t="s">
        <v>57</v>
      </c>
      <c r="T52" s="190"/>
      <c r="U52" s="488"/>
      <c r="V52" s="486"/>
      <c r="W52" s="486"/>
      <c r="X52" s="486"/>
      <c r="Y52" s="486"/>
      <c r="Z52" s="486"/>
      <c r="AA52" s="487"/>
    </row>
    <row r="53" spans="1:27" x14ac:dyDescent="0.25">
      <c r="A53">
        <f t="shared" si="1"/>
        <v>46</v>
      </c>
      <c r="C53" s="639"/>
      <c r="D53" s="42"/>
      <c r="E53" s="43"/>
      <c r="F53" s="43"/>
      <c r="G53" s="43"/>
      <c r="H53" s="43"/>
      <c r="I53" s="43"/>
      <c r="J53" s="43"/>
      <c r="K53" s="43"/>
      <c r="L53" s="43"/>
      <c r="M53" s="43"/>
      <c r="N53" s="43"/>
      <c r="O53" s="43"/>
      <c r="P53" s="43"/>
      <c r="Q53" s="43"/>
      <c r="R53" s="43"/>
      <c r="S53" s="673"/>
      <c r="T53" s="190"/>
      <c r="U53" s="488"/>
      <c r="V53" s="486"/>
      <c r="W53" s="486"/>
      <c r="X53" s="486"/>
      <c r="Y53" s="486"/>
      <c r="Z53" s="486"/>
      <c r="AA53" s="487"/>
    </row>
    <row r="54" spans="1:27" x14ac:dyDescent="0.25">
      <c r="A54">
        <f t="shared" si="1"/>
        <v>47</v>
      </c>
      <c r="C54" s="44"/>
      <c r="D54" s="42"/>
      <c r="E54" s="43"/>
      <c r="F54" s="43"/>
      <c r="G54" s="43"/>
      <c r="H54" s="43"/>
      <c r="I54" s="43"/>
      <c r="J54" s="43"/>
      <c r="K54" s="43"/>
      <c r="L54" s="43"/>
      <c r="M54" s="43"/>
      <c r="N54" s="43"/>
      <c r="O54" s="43"/>
      <c r="P54" s="43"/>
      <c r="Q54" s="43"/>
      <c r="R54" s="43"/>
      <c r="S54" s="673"/>
      <c r="T54" s="190"/>
      <c r="U54" s="488"/>
      <c r="V54" s="486"/>
      <c r="W54" s="486"/>
      <c r="X54" s="486"/>
      <c r="Y54" s="486"/>
      <c r="Z54" s="486"/>
      <c r="AA54" s="487"/>
    </row>
    <row r="55" spans="1:27" ht="15.75" thickBot="1" x14ac:dyDescent="0.3">
      <c r="A55">
        <f t="shared" si="1"/>
        <v>48</v>
      </c>
      <c r="C55" s="45"/>
      <c r="D55" s="46"/>
      <c r="E55" s="47"/>
      <c r="F55" s="47"/>
      <c r="G55" s="47"/>
      <c r="H55" s="47"/>
      <c r="I55" s="47"/>
      <c r="J55" s="47"/>
      <c r="K55" s="47"/>
      <c r="L55" s="47"/>
      <c r="M55" s="47"/>
      <c r="N55" s="47"/>
      <c r="O55" s="47"/>
      <c r="P55" s="47"/>
      <c r="Q55" s="47"/>
      <c r="R55" s="47"/>
      <c r="S55" s="674"/>
      <c r="T55" s="190"/>
      <c r="U55" s="488"/>
      <c r="V55" s="486"/>
      <c r="W55" s="486"/>
      <c r="X55" s="486"/>
      <c r="Y55" s="486"/>
      <c r="Z55" s="486"/>
      <c r="AA55" s="487"/>
    </row>
    <row r="56" spans="1:27" x14ac:dyDescent="0.25">
      <c r="A56">
        <f t="shared" si="1"/>
        <v>49</v>
      </c>
      <c r="C56" s="1024" t="s">
        <v>763</v>
      </c>
      <c r="D56" s="1049"/>
      <c r="E56" s="752">
        <f t="shared" ref="E56:S56" si="34">E50-SUM(E53:E55)</f>
        <v>0</v>
      </c>
      <c r="F56" s="752">
        <f t="shared" si="34"/>
        <v>0</v>
      </c>
      <c r="G56" s="752">
        <f t="shared" si="34"/>
        <v>0</v>
      </c>
      <c r="H56" s="752">
        <f t="shared" si="34"/>
        <v>0</v>
      </c>
      <c r="I56" s="752">
        <f t="shared" si="34"/>
        <v>0</v>
      </c>
      <c r="J56" s="752">
        <f t="shared" si="34"/>
        <v>0</v>
      </c>
      <c r="K56" s="752">
        <f t="shared" si="34"/>
        <v>0</v>
      </c>
      <c r="L56" s="752">
        <f t="shared" si="34"/>
        <v>0</v>
      </c>
      <c r="M56" s="752">
        <f t="shared" si="34"/>
        <v>0</v>
      </c>
      <c r="N56" s="752">
        <f t="shared" si="34"/>
        <v>0</v>
      </c>
      <c r="O56" s="752">
        <f t="shared" si="34"/>
        <v>0</v>
      </c>
      <c r="P56" s="752">
        <f t="shared" si="34"/>
        <v>0</v>
      </c>
      <c r="Q56" s="752">
        <f t="shared" si="34"/>
        <v>0</v>
      </c>
      <c r="R56" s="752">
        <f t="shared" si="34"/>
        <v>0</v>
      </c>
      <c r="S56" s="1017">
        <f t="shared" si="34"/>
        <v>0</v>
      </c>
      <c r="T56" s="190"/>
      <c r="U56" s="488"/>
      <c r="V56" s="486"/>
      <c r="W56" s="486"/>
      <c r="X56" s="486"/>
      <c r="Y56" s="486"/>
      <c r="Z56" s="486"/>
      <c r="AA56" s="487"/>
    </row>
    <row r="57" spans="1:27" ht="15.75" thickBot="1" x14ac:dyDescent="0.3">
      <c r="A57">
        <f t="shared" si="1"/>
        <v>50</v>
      </c>
      <c r="C57" s="1012"/>
      <c r="D57" s="1009"/>
      <c r="E57" s="1010"/>
      <c r="F57" s="1010"/>
      <c r="G57" s="1010"/>
      <c r="H57" s="1010"/>
      <c r="I57" s="1010"/>
      <c r="J57" s="1010"/>
      <c r="K57" s="1010"/>
      <c r="L57" s="1010"/>
      <c r="M57" s="1010"/>
      <c r="N57" s="1010"/>
      <c r="O57" s="1010"/>
      <c r="P57" s="1010"/>
      <c r="Q57" s="1010"/>
      <c r="R57" s="1010"/>
      <c r="S57" s="1011"/>
      <c r="T57" s="190"/>
      <c r="U57" s="488"/>
      <c r="V57" s="486"/>
      <c r="W57" s="486"/>
      <c r="X57" s="486"/>
      <c r="Y57" s="486"/>
      <c r="Z57" s="486"/>
      <c r="AA57" s="487"/>
    </row>
    <row r="58" spans="1:27" x14ac:dyDescent="0.25">
      <c r="A58">
        <f t="shared" si="1"/>
        <v>51</v>
      </c>
      <c r="C58" s="1050" t="s">
        <v>62</v>
      </c>
      <c r="D58" s="1051" t="s">
        <v>44</v>
      </c>
      <c r="E58" s="1052" t="s">
        <v>56</v>
      </c>
      <c r="F58" s="1052" t="s">
        <v>69</v>
      </c>
      <c r="G58" s="1052" t="s">
        <v>70</v>
      </c>
      <c r="H58" s="1052" t="s">
        <v>71</v>
      </c>
      <c r="I58" s="1052" t="s">
        <v>72</v>
      </c>
      <c r="J58" s="1052" t="s">
        <v>73</v>
      </c>
      <c r="K58" s="1052" t="s">
        <v>74</v>
      </c>
      <c r="L58" s="1052" t="s">
        <v>75</v>
      </c>
      <c r="M58" s="1052" t="s">
        <v>76</v>
      </c>
      <c r="N58" s="1052" t="s">
        <v>77</v>
      </c>
      <c r="O58" s="1052" t="s">
        <v>78</v>
      </c>
      <c r="P58" s="1052" t="s">
        <v>79</v>
      </c>
      <c r="Q58" s="1052" t="s">
        <v>80</v>
      </c>
      <c r="R58" s="1052" t="s">
        <v>81</v>
      </c>
      <c r="S58" s="1053" t="s">
        <v>57</v>
      </c>
      <c r="T58" s="190"/>
      <c r="U58" s="488"/>
      <c r="V58" s="486"/>
      <c r="W58" s="486"/>
      <c r="X58" s="486"/>
      <c r="Y58" s="486"/>
      <c r="Z58" s="486"/>
      <c r="AA58" s="487"/>
    </row>
    <row r="59" spans="1:27" x14ac:dyDescent="0.25">
      <c r="A59">
        <f t="shared" si="1"/>
        <v>52</v>
      </c>
      <c r="C59" s="639" t="s">
        <v>240</v>
      </c>
      <c r="D59" s="42"/>
      <c r="E59" s="43">
        <f>IFERROR(E71,"")</f>
        <v>0</v>
      </c>
      <c r="F59" s="43">
        <f t="shared" ref="F59:S59" si="35">IFERROR(F71,"")</f>
        <v>0</v>
      </c>
      <c r="G59" s="43">
        <f t="shared" si="35"/>
        <v>0</v>
      </c>
      <c r="H59" s="43">
        <f t="shared" si="35"/>
        <v>0</v>
      </c>
      <c r="I59" s="43">
        <f t="shared" si="35"/>
        <v>0</v>
      </c>
      <c r="J59" s="43">
        <f t="shared" si="35"/>
        <v>0</v>
      </c>
      <c r="K59" s="43">
        <f t="shared" si="35"/>
        <v>0</v>
      </c>
      <c r="L59" s="43">
        <f t="shared" si="35"/>
        <v>0</v>
      </c>
      <c r="M59" s="43">
        <f t="shared" si="35"/>
        <v>0</v>
      </c>
      <c r="N59" s="43">
        <f t="shared" si="35"/>
        <v>0</v>
      </c>
      <c r="O59" s="43">
        <f t="shared" si="35"/>
        <v>0</v>
      </c>
      <c r="P59" s="43">
        <f t="shared" si="35"/>
        <v>0</v>
      </c>
      <c r="Q59" s="43">
        <f t="shared" si="35"/>
        <v>0</v>
      </c>
      <c r="R59" s="43">
        <f t="shared" si="35"/>
        <v>0</v>
      </c>
      <c r="S59" s="673">
        <f t="shared" si="35"/>
        <v>0</v>
      </c>
      <c r="T59" s="190"/>
      <c r="U59" s="488"/>
      <c r="V59" s="486"/>
      <c r="W59" s="486"/>
      <c r="X59" s="486"/>
      <c r="Y59" s="486"/>
      <c r="Z59" s="486"/>
      <c r="AA59" s="487"/>
    </row>
    <row r="60" spans="1:27" x14ac:dyDescent="0.25">
      <c r="A60">
        <f t="shared" si="1"/>
        <v>53</v>
      </c>
      <c r="C60" s="639" t="s">
        <v>767</v>
      </c>
      <c r="D60" s="42"/>
      <c r="E60" s="43"/>
      <c r="F60" s="43"/>
      <c r="G60" s="43"/>
      <c r="H60" s="43"/>
      <c r="I60" s="43"/>
      <c r="J60" s="43"/>
      <c r="K60" s="43"/>
      <c r="L60" s="43"/>
      <c r="M60" s="43"/>
      <c r="N60" s="43"/>
      <c r="O60" s="43"/>
      <c r="P60" s="43"/>
      <c r="Q60" s="43"/>
      <c r="R60" s="43"/>
      <c r="S60" s="673"/>
      <c r="T60" s="190"/>
      <c r="U60" s="488"/>
      <c r="V60" s="486"/>
      <c r="W60" s="486"/>
      <c r="X60" s="486"/>
      <c r="Y60" s="486"/>
      <c r="Z60" s="486"/>
      <c r="AA60" s="487"/>
    </row>
    <row r="61" spans="1:27" x14ac:dyDescent="0.25">
      <c r="A61">
        <f t="shared" si="1"/>
        <v>54</v>
      </c>
      <c r="C61" s="639" t="s">
        <v>777</v>
      </c>
      <c r="D61" s="42"/>
      <c r="E61" s="43"/>
      <c r="F61" s="43"/>
      <c r="G61" s="43"/>
      <c r="H61" s="43"/>
      <c r="I61" s="43"/>
      <c r="J61" s="43"/>
      <c r="K61" s="43"/>
      <c r="L61" s="43"/>
      <c r="M61" s="43"/>
      <c r="N61" s="43"/>
      <c r="O61" s="43"/>
      <c r="P61" s="43"/>
      <c r="Q61" s="43"/>
      <c r="R61" s="43"/>
      <c r="S61" s="673"/>
      <c r="T61" s="190"/>
      <c r="U61" s="488"/>
      <c r="V61" s="486"/>
      <c r="W61" s="486"/>
      <c r="X61" s="486"/>
      <c r="Y61" s="486"/>
      <c r="Z61" s="486"/>
      <c r="AA61" s="487"/>
    </row>
    <row r="62" spans="1:27" x14ac:dyDescent="0.25">
      <c r="A62">
        <f t="shared" si="1"/>
        <v>55</v>
      </c>
      <c r="C62" s="639" t="s">
        <v>768</v>
      </c>
      <c r="D62" s="42"/>
      <c r="E62" s="43"/>
      <c r="F62" s="43"/>
      <c r="G62" s="43"/>
      <c r="H62" s="43"/>
      <c r="I62" s="43"/>
      <c r="J62" s="43"/>
      <c r="K62" s="43"/>
      <c r="L62" s="43"/>
      <c r="M62" s="43"/>
      <c r="N62" s="43"/>
      <c r="O62" s="43"/>
      <c r="P62" s="43"/>
      <c r="Q62" s="43"/>
      <c r="R62" s="43"/>
      <c r="S62" s="673"/>
      <c r="T62" s="190"/>
      <c r="U62" s="488"/>
      <c r="V62" s="486"/>
      <c r="W62" s="486"/>
      <c r="X62" s="486"/>
      <c r="Y62" s="486"/>
      <c r="Z62" s="486"/>
      <c r="AA62" s="487"/>
    </row>
    <row r="63" spans="1:27" x14ac:dyDescent="0.25">
      <c r="A63">
        <f t="shared" si="1"/>
        <v>56</v>
      </c>
      <c r="C63" s="48"/>
      <c r="D63" s="42"/>
      <c r="E63" s="43"/>
      <c r="F63" s="43"/>
      <c r="G63" s="43"/>
      <c r="H63" s="43"/>
      <c r="I63" s="43"/>
      <c r="J63" s="43"/>
      <c r="K63" s="43"/>
      <c r="L63" s="43"/>
      <c r="M63" s="43"/>
      <c r="N63" s="43"/>
      <c r="O63" s="43"/>
      <c r="P63" s="43"/>
      <c r="Q63" s="43"/>
      <c r="R63" s="43"/>
      <c r="S63" s="673"/>
      <c r="T63" s="190"/>
      <c r="U63" s="488"/>
      <c r="V63" s="486"/>
      <c r="W63" s="486"/>
      <c r="X63" s="486"/>
      <c r="Y63" s="486"/>
      <c r="Z63" s="486"/>
      <c r="AA63" s="487"/>
    </row>
    <row r="64" spans="1:27" x14ac:dyDescent="0.25">
      <c r="A64">
        <f t="shared" si="1"/>
        <v>57</v>
      </c>
      <c r="C64" s="48"/>
      <c r="D64" s="42"/>
      <c r="E64" s="43"/>
      <c r="F64" s="43"/>
      <c r="G64" s="43"/>
      <c r="H64" s="43"/>
      <c r="I64" s="43"/>
      <c r="J64" s="43"/>
      <c r="K64" s="43"/>
      <c r="L64" s="43"/>
      <c r="M64" s="43"/>
      <c r="N64" s="43"/>
      <c r="O64" s="43"/>
      <c r="P64" s="43"/>
      <c r="Q64" s="43"/>
      <c r="R64" s="43"/>
      <c r="S64" s="673"/>
      <c r="T64" s="190"/>
      <c r="U64" s="488"/>
      <c r="V64" s="486"/>
      <c r="W64" s="486"/>
      <c r="X64" s="486"/>
      <c r="Y64" s="486"/>
      <c r="Z64" s="486"/>
      <c r="AA64" s="487"/>
    </row>
    <row r="65" spans="1:27" ht="15.75" thickBot="1" x14ac:dyDescent="0.3">
      <c r="A65">
        <f t="shared" si="1"/>
        <v>58</v>
      </c>
      <c r="C65" s="49"/>
      <c r="D65" s="46"/>
      <c r="E65" s="50"/>
      <c r="F65" s="50"/>
      <c r="G65" s="50"/>
      <c r="H65" s="50"/>
      <c r="I65" s="50"/>
      <c r="J65" s="50"/>
      <c r="K65" s="50"/>
      <c r="L65" s="50"/>
      <c r="M65" s="50"/>
      <c r="N65" s="50"/>
      <c r="O65" s="50"/>
      <c r="P65" s="50"/>
      <c r="Q65" s="50"/>
      <c r="R65" s="50"/>
      <c r="S65" s="675"/>
      <c r="T65" s="190"/>
      <c r="U65" s="488"/>
      <c r="V65" s="486"/>
      <c r="W65" s="486"/>
      <c r="X65" s="486"/>
      <c r="Y65" s="486"/>
      <c r="Z65" s="486"/>
      <c r="AA65" s="487"/>
    </row>
    <row r="66" spans="1:27" ht="15.75" thickBot="1" x14ac:dyDescent="0.3">
      <c r="A66">
        <f t="shared" si="1"/>
        <v>59</v>
      </c>
      <c r="C66" s="638" t="s">
        <v>764</v>
      </c>
      <c r="D66" s="1054"/>
      <c r="E66" s="1055">
        <f>E56-SUM(E59:E65)</f>
        <v>0</v>
      </c>
      <c r="F66" s="1055">
        <f t="shared" ref="F66:S66" si="36">F56-SUM(F59:F65)</f>
        <v>0</v>
      </c>
      <c r="G66" s="1055">
        <f t="shared" si="36"/>
        <v>0</v>
      </c>
      <c r="H66" s="1055">
        <f t="shared" si="36"/>
        <v>0</v>
      </c>
      <c r="I66" s="1055">
        <f t="shared" si="36"/>
        <v>0</v>
      </c>
      <c r="J66" s="1055">
        <f t="shared" si="36"/>
        <v>0</v>
      </c>
      <c r="K66" s="1055">
        <f t="shared" si="36"/>
        <v>0</v>
      </c>
      <c r="L66" s="1055">
        <f t="shared" si="36"/>
        <v>0</v>
      </c>
      <c r="M66" s="1055">
        <f t="shared" si="36"/>
        <v>0</v>
      </c>
      <c r="N66" s="1055">
        <f t="shared" si="36"/>
        <v>0</v>
      </c>
      <c r="O66" s="1055">
        <f t="shared" si="36"/>
        <v>0</v>
      </c>
      <c r="P66" s="1055">
        <f t="shared" si="36"/>
        <v>0</v>
      </c>
      <c r="Q66" s="1055">
        <f t="shared" si="36"/>
        <v>0</v>
      </c>
      <c r="R66" s="1055">
        <f t="shared" si="36"/>
        <v>0</v>
      </c>
      <c r="S66" s="1056">
        <f t="shared" si="36"/>
        <v>0</v>
      </c>
      <c r="T66" s="190"/>
      <c r="U66" s="488"/>
      <c r="V66" s="486"/>
      <c r="W66" s="486"/>
      <c r="X66" s="486"/>
      <c r="Y66" s="486"/>
      <c r="Z66" s="486"/>
      <c r="AA66" s="487"/>
    </row>
    <row r="67" spans="1:27" ht="15.75" thickBot="1" x14ac:dyDescent="0.3">
      <c r="A67">
        <f t="shared" si="1"/>
        <v>60</v>
      </c>
      <c r="T67" s="190"/>
      <c r="U67" s="488"/>
      <c r="V67" s="486"/>
      <c r="W67" s="486"/>
      <c r="X67" s="486"/>
      <c r="Y67" s="486"/>
      <c r="Z67" s="486"/>
      <c r="AA67" s="487"/>
    </row>
    <row r="68" spans="1:27" outlineLevel="1" x14ac:dyDescent="0.25">
      <c r="A68">
        <f t="shared" si="1"/>
        <v>61</v>
      </c>
      <c r="C68" s="1057" t="s">
        <v>769</v>
      </c>
      <c r="D68" s="1051" t="s">
        <v>44</v>
      </c>
      <c r="E68" s="1052" t="s">
        <v>56</v>
      </c>
      <c r="F68" s="1052" t="s">
        <v>69</v>
      </c>
      <c r="G68" s="1052" t="s">
        <v>70</v>
      </c>
      <c r="H68" s="1052" t="s">
        <v>71</v>
      </c>
      <c r="I68" s="1052" t="s">
        <v>72</v>
      </c>
      <c r="J68" s="1052" t="s">
        <v>73</v>
      </c>
      <c r="K68" s="1052" t="s">
        <v>74</v>
      </c>
      <c r="L68" s="1052" t="s">
        <v>75</v>
      </c>
      <c r="M68" s="1052" t="s">
        <v>76</v>
      </c>
      <c r="N68" s="1052" t="s">
        <v>77</v>
      </c>
      <c r="O68" s="1052" t="s">
        <v>78</v>
      </c>
      <c r="P68" s="1052" t="s">
        <v>79</v>
      </c>
      <c r="Q68" s="1052" t="s">
        <v>80</v>
      </c>
      <c r="R68" s="1052" t="s">
        <v>81</v>
      </c>
      <c r="S68" s="1053" t="s">
        <v>57</v>
      </c>
      <c r="T68" s="190"/>
      <c r="U68" s="488"/>
      <c r="V68" s="486"/>
      <c r="W68" s="486"/>
      <c r="X68" s="486"/>
      <c r="Y68" s="486"/>
      <c r="Z68" s="486"/>
      <c r="AA68" s="487"/>
    </row>
    <row r="69" spans="1:27" outlineLevel="1" x14ac:dyDescent="0.25">
      <c r="A69">
        <f t="shared" si="1"/>
        <v>62</v>
      </c>
      <c r="C69" s="1058" t="s">
        <v>770</v>
      </c>
      <c r="D69" s="1009"/>
      <c r="E69" s="646">
        <f>IF(AND('Sources &amp; Loan Sizing'!M86="x",'Sources &amp; Loan Sizing'!M85="x"),'Sources &amp; Loan Sizing'!M90,0)</f>
        <v>0</v>
      </c>
      <c r="F69" s="646">
        <f>E75</f>
        <v>0</v>
      </c>
      <c r="G69" s="646">
        <f t="shared" ref="G69:S69" si="37">F75</f>
        <v>0</v>
      </c>
      <c r="H69" s="646">
        <f t="shared" si="37"/>
        <v>0</v>
      </c>
      <c r="I69" s="646">
        <f t="shared" si="37"/>
        <v>0</v>
      </c>
      <c r="J69" s="646">
        <f t="shared" si="37"/>
        <v>0</v>
      </c>
      <c r="K69" s="646">
        <f t="shared" si="37"/>
        <v>0</v>
      </c>
      <c r="L69" s="646">
        <f t="shared" si="37"/>
        <v>0</v>
      </c>
      <c r="M69" s="646">
        <f t="shared" si="37"/>
        <v>0</v>
      </c>
      <c r="N69" s="646">
        <f t="shared" si="37"/>
        <v>0</v>
      </c>
      <c r="O69" s="646">
        <f t="shared" si="37"/>
        <v>0</v>
      </c>
      <c r="P69" s="646">
        <f t="shared" si="37"/>
        <v>0</v>
      </c>
      <c r="Q69" s="646">
        <f t="shared" si="37"/>
        <v>0</v>
      </c>
      <c r="R69" s="646">
        <f t="shared" si="37"/>
        <v>0</v>
      </c>
      <c r="S69" s="676">
        <f t="shared" si="37"/>
        <v>0</v>
      </c>
      <c r="T69" s="190"/>
      <c r="U69" s="488"/>
      <c r="V69" s="486"/>
      <c r="W69" s="486"/>
      <c r="X69" s="486"/>
      <c r="Y69" s="486"/>
      <c r="Z69" s="486"/>
      <c r="AA69" s="487"/>
    </row>
    <row r="70" spans="1:27" outlineLevel="1" x14ac:dyDescent="0.25">
      <c r="A70">
        <f t="shared" si="1"/>
        <v>63</v>
      </c>
      <c r="C70" s="1059" t="s">
        <v>771</v>
      </c>
      <c r="D70" s="1060" t="str">
        <f>'Sources &amp; Loan Sizing'!M95</f>
        <v/>
      </c>
      <c r="E70" s="647">
        <f>IFERROR($D$70*E56,0)</f>
        <v>0</v>
      </c>
      <c r="F70" s="647">
        <f t="shared" ref="F70:S70" si="38">IFERROR($D$70*F56,0)</f>
        <v>0</v>
      </c>
      <c r="G70" s="647">
        <f t="shared" si="38"/>
        <v>0</v>
      </c>
      <c r="H70" s="647">
        <f t="shared" si="38"/>
        <v>0</v>
      </c>
      <c r="I70" s="647">
        <f t="shared" si="38"/>
        <v>0</v>
      </c>
      <c r="J70" s="647">
        <f t="shared" si="38"/>
        <v>0</v>
      </c>
      <c r="K70" s="647">
        <f t="shared" si="38"/>
        <v>0</v>
      </c>
      <c r="L70" s="647">
        <f t="shared" si="38"/>
        <v>0</v>
      </c>
      <c r="M70" s="647">
        <f t="shared" si="38"/>
        <v>0</v>
      </c>
      <c r="N70" s="647">
        <f t="shared" si="38"/>
        <v>0</v>
      </c>
      <c r="O70" s="647">
        <f t="shared" si="38"/>
        <v>0</v>
      </c>
      <c r="P70" s="647">
        <f t="shared" si="38"/>
        <v>0</v>
      </c>
      <c r="Q70" s="647">
        <f t="shared" si="38"/>
        <v>0</v>
      </c>
      <c r="R70" s="647">
        <f t="shared" si="38"/>
        <v>0</v>
      </c>
      <c r="S70" s="677">
        <f t="shared" si="38"/>
        <v>0</v>
      </c>
      <c r="T70" s="190"/>
      <c r="U70" s="488"/>
      <c r="V70" s="486"/>
      <c r="W70" s="486"/>
      <c r="X70" s="486"/>
      <c r="Y70" s="486"/>
      <c r="Z70" s="486"/>
      <c r="AA70" s="487"/>
    </row>
    <row r="71" spans="1:27" outlineLevel="1" x14ac:dyDescent="0.25">
      <c r="A71">
        <f t="shared" si="1"/>
        <v>64</v>
      </c>
      <c r="C71" s="1059" t="s">
        <v>772</v>
      </c>
      <c r="D71" s="1060"/>
      <c r="E71" s="647">
        <f>MIN(E70,E69+E72)</f>
        <v>0</v>
      </c>
      <c r="F71" s="647">
        <f t="shared" ref="F71:S71" si="39">MIN(F70,F69+F72)</f>
        <v>0</v>
      </c>
      <c r="G71" s="647">
        <f t="shared" si="39"/>
        <v>0</v>
      </c>
      <c r="H71" s="647">
        <f t="shared" si="39"/>
        <v>0</v>
      </c>
      <c r="I71" s="647">
        <f t="shared" si="39"/>
        <v>0</v>
      </c>
      <c r="J71" s="647">
        <f t="shared" si="39"/>
        <v>0</v>
      </c>
      <c r="K71" s="647">
        <f t="shared" si="39"/>
        <v>0</v>
      </c>
      <c r="L71" s="647">
        <f t="shared" si="39"/>
        <v>0</v>
      </c>
      <c r="M71" s="647">
        <f t="shared" si="39"/>
        <v>0</v>
      </c>
      <c r="N71" s="647">
        <f t="shared" si="39"/>
        <v>0</v>
      </c>
      <c r="O71" s="647">
        <f t="shared" si="39"/>
        <v>0</v>
      </c>
      <c r="P71" s="647">
        <f t="shared" si="39"/>
        <v>0</v>
      </c>
      <c r="Q71" s="647">
        <f t="shared" si="39"/>
        <v>0</v>
      </c>
      <c r="R71" s="647">
        <f t="shared" si="39"/>
        <v>0</v>
      </c>
      <c r="S71" s="677">
        <f t="shared" si="39"/>
        <v>0</v>
      </c>
      <c r="T71" s="190"/>
      <c r="U71" s="488"/>
      <c r="V71" s="486"/>
      <c r="W71" s="486"/>
      <c r="X71" s="486"/>
      <c r="Y71" s="486"/>
      <c r="Z71" s="486"/>
      <c r="AA71" s="487"/>
    </row>
    <row r="72" spans="1:27" outlineLevel="1" x14ac:dyDescent="0.25">
      <c r="A72">
        <f t="shared" si="1"/>
        <v>65</v>
      </c>
      <c r="C72" s="1059" t="s">
        <v>64</v>
      </c>
      <c r="D72" s="1060">
        <f>'Sources &amp; Loan Sizing'!M91</f>
        <v>7.0000000000000007E-2</v>
      </c>
      <c r="E72" s="647">
        <f>E69*$D$72</f>
        <v>0</v>
      </c>
      <c r="F72" s="647">
        <f t="shared" ref="F72:S72" si="40">F69*$D$72</f>
        <v>0</v>
      </c>
      <c r="G72" s="647">
        <f t="shared" si="40"/>
        <v>0</v>
      </c>
      <c r="H72" s="647">
        <f t="shared" si="40"/>
        <v>0</v>
      </c>
      <c r="I72" s="647">
        <f t="shared" si="40"/>
        <v>0</v>
      </c>
      <c r="J72" s="647">
        <f t="shared" si="40"/>
        <v>0</v>
      </c>
      <c r="K72" s="647">
        <f t="shared" si="40"/>
        <v>0</v>
      </c>
      <c r="L72" s="647">
        <f t="shared" si="40"/>
        <v>0</v>
      </c>
      <c r="M72" s="647">
        <f t="shared" si="40"/>
        <v>0</v>
      </c>
      <c r="N72" s="647">
        <f t="shared" si="40"/>
        <v>0</v>
      </c>
      <c r="O72" s="647">
        <f t="shared" si="40"/>
        <v>0</v>
      </c>
      <c r="P72" s="647">
        <f t="shared" si="40"/>
        <v>0</v>
      </c>
      <c r="Q72" s="647">
        <f t="shared" si="40"/>
        <v>0</v>
      </c>
      <c r="R72" s="647">
        <f t="shared" si="40"/>
        <v>0</v>
      </c>
      <c r="S72" s="677">
        <f t="shared" si="40"/>
        <v>0</v>
      </c>
      <c r="T72" s="190"/>
      <c r="U72" s="488"/>
      <c r="V72" s="486"/>
      <c r="W72" s="486"/>
      <c r="X72" s="486"/>
      <c r="Y72" s="486"/>
      <c r="Z72" s="486"/>
      <c r="AA72" s="487"/>
    </row>
    <row r="73" spans="1:27" outlineLevel="1" x14ac:dyDescent="0.25">
      <c r="A73">
        <f t="shared" si="1"/>
        <v>66</v>
      </c>
      <c r="C73" s="1059" t="s">
        <v>773</v>
      </c>
      <c r="D73" s="1060"/>
      <c r="E73" s="647">
        <f>MIN(E72,E71)</f>
        <v>0</v>
      </c>
      <c r="F73" s="647">
        <f t="shared" ref="F73:S73" si="41">MIN(F72,F71)</f>
        <v>0</v>
      </c>
      <c r="G73" s="647">
        <f t="shared" si="41"/>
        <v>0</v>
      </c>
      <c r="H73" s="647">
        <f t="shared" si="41"/>
        <v>0</v>
      </c>
      <c r="I73" s="647">
        <f t="shared" si="41"/>
        <v>0</v>
      </c>
      <c r="J73" s="647">
        <f t="shared" si="41"/>
        <v>0</v>
      </c>
      <c r="K73" s="647">
        <f t="shared" si="41"/>
        <v>0</v>
      </c>
      <c r="L73" s="647">
        <f t="shared" si="41"/>
        <v>0</v>
      </c>
      <c r="M73" s="647">
        <f t="shared" si="41"/>
        <v>0</v>
      </c>
      <c r="N73" s="647">
        <f t="shared" si="41"/>
        <v>0</v>
      </c>
      <c r="O73" s="647">
        <f t="shared" si="41"/>
        <v>0</v>
      </c>
      <c r="P73" s="647">
        <f t="shared" si="41"/>
        <v>0</v>
      </c>
      <c r="Q73" s="647">
        <f t="shared" si="41"/>
        <v>0</v>
      </c>
      <c r="R73" s="647">
        <f t="shared" si="41"/>
        <v>0</v>
      </c>
      <c r="S73" s="677">
        <f t="shared" si="41"/>
        <v>0</v>
      </c>
      <c r="T73" s="190"/>
      <c r="U73" s="488"/>
      <c r="V73" s="486"/>
      <c r="W73" s="486"/>
      <c r="X73" s="486"/>
      <c r="Y73" s="486"/>
      <c r="Z73" s="486"/>
      <c r="AA73" s="487"/>
    </row>
    <row r="74" spans="1:27" outlineLevel="1" x14ac:dyDescent="0.25">
      <c r="A74">
        <f t="shared" si="1"/>
        <v>67</v>
      </c>
      <c r="C74" s="1059" t="s">
        <v>774</v>
      </c>
      <c r="D74" s="1060"/>
      <c r="E74" s="647">
        <f>E71-E72</f>
        <v>0</v>
      </c>
      <c r="F74" s="647">
        <f t="shared" ref="F74:S74" si="42">F71-F72</f>
        <v>0</v>
      </c>
      <c r="G74" s="647">
        <f t="shared" si="42"/>
        <v>0</v>
      </c>
      <c r="H74" s="647">
        <f t="shared" si="42"/>
        <v>0</v>
      </c>
      <c r="I74" s="647">
        <f t="shared" si="42"/>
        <v>0</v>
      </c>
      <c r="J74" s="647">
        <f t="shared" si="42"/>
        <v>0</v>
      </c>
      <c r="K74" s="647">
        <f t="shared" si="42"/>
        <v>0</v>
      </c>
      <c r="L74" s="647">
        <f t="shared" si="42"/>
        <v>0</v>
      </c>
      <c r="M74" s="647">
        <f t="shared" si="42"/>
        <v>0</v>
      </c>
      <c r="N74" s="647">
        <f t="shared" si="42"/>
        <v>0</v>
      </c>
      <c r="O74" s="647">
        <f t="shared" si="42"/>
        <v>0</v>
      </c>
      <c r="P74" s="647">
        <f t="shared" si="42"/>
        <v>0</v>
      </c>
      <c r="Q74" s="647">
        <f t="shared" si="42"/>
        <v>0</v>
      </c>
      <c r="R74" s="647">
        <f t="shared" si="42"/>
        <v>0</v>
      </c>
      <c r="S74" s="677">
        <f t="shared" si="42"/>
        <v>0</v>
      </c>
      <c r="T74" s="190"/>
      <c r="U74" s="488"/>
      <c r="V74" s="486"/>
      <c r="W74" s="486"/>
      <c r="X74" s="486"/>
      <c r="Y74" s="486"/>
      <c r="Z74" s="486"/>
      <c r="AA74" s="487"/>
    </row>
    <row r="75" spans="1:27" ht="15.75" outlineLevel="1" thickBot="1" x14ac:dyDescent="0.3">
      <c r="A75">
        <f t="shared" ref="A75" si="43">A74+1</f>
        <v>68</v>
      </c>
      <c r="C75" s="1061" t="s">
        <v>775</v>
      </c>
      <c r="D75" s="1013"/>
      <c r="E75" s="648">
        <f t="shared" ref="E75:S75" si="44">E69-E74</f>
        <v>0</v>
      </c>
      <c r="F75" s="648">
        <f t="shared" si="44"/>
        <v>0</v>
      </c>
      <c r="G75" s="648">
        <f t="shared" si="44"/>
        <v>0</v>
      </c>
      <c r="H75" s="648">
        <f t="shared" si="44"/>
        <v>0</v>
      </c>
      <c r="I75" s="648">
        <f t="shared" si="44"/>
        <v>0</v>
      </c>
      <c r="J75" s="648">
        <f t="shared" si="44"/>
        <v>0</v>
      </c>
      <c r="K75" s="648">
        <f t="shared" si="44"/>
        <v>0</v>
      </c>
      <c r="L75" s="648">
        <f t="shared" si="44"/>
        <v>0</v>
      </c>
      <c r="M75" s="648">
        <f t="shared" si="44"/>
        <v>0</v>
      </c>
      <c r="N75" s="648">
        <f t="shared" si="44"/>
        <v>0</v>
      </c>
      <c r="O75" s="648">
        <f t="shared" si="44"/>
        <v>0</v>
      </c>
      <c r="P75" s="648">
        <f t="shared" si="44"/>
        <v>0</v>
      </c>
      <c r="Q75" s="648">
        <f t="shared" si="44"/>
        <v>0</v>
      </c>
      <c r="R75" s="648">
        <f t="shared" si="44"/>
        <v>0</v>
      </c>
      <c r="S75" s="678">
        <f t="shared" si="44"/>
        <v>0</v>
      </c>
      <c r="T75" s="190"/>
      <c r="U75" s="488"/>
      <c r="V75" s="486"/>
      <c r="W75" s="486"/>
      <c r="X75" s="486"/>
      <c r="Y75" s="486"/>
      <c r="Z75" s="486"/>
      <c r="AA75" s="487"/>
    </row>
    <row r="76" spans="1:27" ht="15.75" outlineLevel="1" thickBot="1" x14ac:dyDescent="0.3">
      <c r="C76" s="1059" t="s">
        <v>776</v>
      </c>
      <c r="D76" s="1060"/>
      <c r="E76" s="653" t="e">
        <f>(E71/$E$69)</f>
        <v>#DIV/0!</v>
      </c>
      <c r="F76" s="653" t="e">
        <f t="shared" ref="F76:S76" si="45">(F71/$E$69)</f>
        <v>#DIV/0!</v>
      </c>
      <c r="G76" s="653" t="e">
        <f t="shared" si="45"/>
        <v>#DIV/0!</v>
      </c>
      <c r="H76" s="653" t="e">
        <f t="shared" si="45"/>
        <v>#DIV/0!</v>
      </c>
      <c r="I76" s="653" t="e">
        <f t="shared" si="45"/>
        <v>#DIV/0!</v>
      </c>
      <c r="J76" s="653" t="e">
        <f t="shared" si="45"/>
        <v>#DIV/0!</v>
      </c>
      <c r="K76" s="653" t="e">
        <f t="shared" si="45"/>
        <v>#DIV/0!</v>
      </c>
      <c r="L76" s="653" t="e">
        <f t="shared" si="45"/>
        <v>#DIV/0!</v>
      </c>
      <c r="M76" s="653" t="e">
        <f t="shared" si="45"/>
        <v>#DIV/0!</v>
      </c>
      <c r="N76" s="653" t="e">
        <f t="shared" si="45"/>
        <v>#DIV/0!</v>
      </c>
      <c r="O76" s="653" t="e">
        <f t="shared" si="45"/>
        <v>#DIV/0!</v>
      </c>
      <c r="P76" s="653" t="e">
        <f t="shared" si="45"/>
        <v>#DIV/0!</v>
      </c>
      <c r="Q76" s="653" t="e">
        <f t="shared" si="45"/>
        <v>#DIV/0!</v>
      </c>
      <c r="R76" s="653" t="e">
        <f t="shared" si="45"/>
        <v>#DIV/0!</v>
      </c>
      <c r="S76" s="679" t="e">
        <f t="shared" si="45"/>
        <v>#DIV/0!</v>
      </c>
      <c r="T76" s="190"/>
      <c r="U76" s="488"/>
      <c r="V76" s="486"/>
      <c r="W76" s="486"/>
      <c r="X76" s="486"/>
      <c r="Y76" s="486"/>
      <c r="Z76" s="486"/>
      <c r="AA76" s="487"/>
    </row>
    <row r="77" spans="1:27" outlineLevel="1" x14ac:dyDescent="0.25">
      <c r="C77" s="1062" t="s">
        <v>783</v>
      </c>
      <c r="D77" s="1063"/>
      <c r="E77" s="1063"/>
      <c r="F77" s="1063"/>
      <c r="G77" s="1063"/>
      <c r="H77" s="1063"/>
      <c r="I77" s="1063"/>
      <c r="J77" s="1063"/>
      <c r="K77" s="1063"/>
      <c r="L77" s="1063"/>
      <c r="M77" s="1063"/>
      <c r="N77" s="1063"/>
      <c r="O77" s="1063"/>
      <c r="P77" s="1063"/>
      <c r="Q77" s="1063"/>
      <c r="R77" s="1063"/>
      <c r="S77" s="1064"/>
      <c r="T77" s="190"/>
      <c r="U77" s="488"/>
      <c r="V77" s="486"/>
      <c r="W77" s="486"/>
      <c r="X77" s="486"/>
      <c r="Y77" s="486"/>
      <c r="Z77" s="486"/>
      <c r="AA77" s="487"/>
    </row>
    <row r="78" spans="1:27" outlineLevel="1" x14ac:dyDescent="0.25">
      <c r="C78" s="1058" t="s">
        <v>784</v>
      </c>
      <c r="D78" s="1065">
        <f>-E69</f>
        <v>0</v>
      </c>
      <c r="E78" s="52"/>
      <c r="F78" s="52"/>
      <c r="G78" s="52"/>
      <c r="H78" s="52"/>
      <c r="I78" s="52"/>
      <c r="J78" s="52"/>
      <c r="K78" s="52"/>
      <c r="L78" s="52"/>
      <c r="M78" s="52"/>
      <c r="N78" s="52"/>
      <c r="O78" s="52"/>
      <c r="P78" s="52"/>
      <c r="Q78" s="52"/>
      <c r="R78" s="52"/>
      <c r="S78" s="1066"/>
      <c r="T78" s="190"/>
      <c r="U78" s="488"/>
      <c r="V78" s="486"/>
      <c r="W78" s="486"/>
      <c r="X78" s="486"/>
      <c r="Y78" s="486"/>
      <c r="Z78" s="486"/>
      <c r="AA78" s="487"/>
    </row>
    <row r="79" spans="1:27" outlineLevel="1" x14ac:dyDescent="0.25">
      <c r="C79" s="666" t="s">
        <v>785</v>
      </c>
      <c r="D79" s="1067"/>
      <c r="E79" s="633">
        <f>IF(E8&lt;='Refi Analysis'!$D$3,'Cash Flow'!E71,0)</f>
        <v>0</v>
      </c>
      <c r="F79" s="633">
        <f>IF(F8&lt;='Refi Analysis'!$D$3,'Cash Flow'!F71,0)</f>
        <v>0</v>
      </c>
      <c r="G79" s="633">
        <f>IF(G8&lt;='Refi Analysis'!$D$3,'Cash Flow'!G71,0)</f>
        <v>0</v>
      </c>
      <c r="H79" s="633">
        <f>IF(H8&lt;='Refi Analysis'!$D$3,'Cash Flow'!H71,0)</f>
        <v>0</v>
      </c>
      <c r="I79" s="633">
        <f>IF(I8&lt;='Refi Analysis'!$D$3,'Cash Flow'!I71,0)</f>
        <v>0</v>
      </c>
      <c r="J79" s="633">
        <f>IF(J8&lt;='Refi Analysis'!$D$3,'Cash Flow'!J71,0)</f>
        <v>0</v>
      </c>
      <c r="K79" s="633">
        <f>IF(K8&lt;='Refi Analysis'!$D$3,'Cash Flow'!K71,0)</f>
        <v>0</v>
      </c>
      <c r="L79" s="633">
        <f>IF(L8&lt;='Refi Analysis'!$D$3,'Cash Flow'!L71,0)</f>
        <v>0</v>
      </c>
      <c r="M79" s="633">
        <f>IF(M8&lt;='Refi Analysis'!$D$3,'Cash Flow'!M71,0)</f>
        <v>0</v>
      </c>
      <c r="N79" s="633">
        <f>IF(N8&lt;='Refi Analysis'!$D$3,'Cash Flow'!N71,0)</f>
        <v>0</v>
      </c>
      <c r="O79" s="633">
        <f>IF(O8&lt;='Refi Analysis'!$D$3,'Cash Flow'!O71,0)</f>
        <v>0</v>
      </c>
      <c r="P79" s="633">
        <f>IF(P8&lt;='Refi Analysis'!$D$3,'Cash Flow'!P71,0)</f>
        <v>0</v>
      </c>
      <c r="Q79" s="633">
        <f>IF(Q8&lt;='Refi Analysis'!$D$3,'Cash Flow'!Q71,0)</f>
        <v>0</v>
      </c>
      <c r="R79" s="633">
        <f>IF(R8&lt;='Refi Analysis'!$D$3,'Cash Flow'!R71,0)</f>
        <v>0</v>
      </c>
      <c r="S79" s="1068">
        <f>IF(S8&lt;='Refi Analysis'!$D$3,'Cash Flow'!S71,0)</f>
        <v>0</v>
      </c>
      <c r="T79" s="190"/>
      <c r="U79" s="488"/>
      <c r="V79" s="486"/>
      <c r="W79" s="486"/>
      <c r="X79" s="486"/>
      <c r="Y79" s="486"/>
      <c r="Z79" s="486"/>
      <c r="AA79" s="487"/>
    </row>
    <row r="80" spans="1:27" outlineLevel="1" x14ac:dyDescent="0.25">
      <c r="C80" s="666" t="s">
        <v>786</v>
      </c>
      <c r="D80" s="1067"/>
      <c r="E80" s="1069">
        <f>IF(E8='Refi Analysis'!$D$3,MIN('Refi Analysis'!$F$24,'Refi Analysis'!$F$36),0)</f>
        <v>0</v>
      </c>
      <c r="F80" s="1069">
        <f>IF(F8='Refi Analysis'!$D$3,MIN('Refi Analysis'!$F$24,'Refi Analysis'!$F$36),0)</f>
        <v>0</v>
      </c>
      <c r="G80" s="1069">
        <f>IF(G8='Refi Analysis'!$D$3,MIN('Refi Analysis'!$F$24,'Refi Analysis'!$F$36),0)</f>
        <v>0</v>
      </c>
      <c r="H80" s="1069">
        <f>IF(H8='Refi Analysis'!$D$3,MIN('Refi Analysis'!$F$24,'Refi Analysis'!$F$36),0)</f>
        <v>0</v>
      </c>
      <c r="I80" s="1069">
        <f>IF(I8='Refi Analysis'!$D$3,MIN('Refi Analysis'!$F$24,'Refi Analysis'!$F$36),0)</f>
        <v>0</v>
      </c>
      <c r="J80" s="1069">
        <f>IF(J8='Refi Analysis'!$D$3,MIN('Refi Analysis'!$F$24,'Refi Analysis'!$F$36),0)</f>
        <v>0</v>
      </c>
      <c r="K80" s="1069">
        <f>IF(K8='Refi Analysis'!$D$3,MIN('Refi Analysis'!$F$24,'Refi Analysis'!$F$36),0)</f>
        <v>0</v>
      </c>
      <c r="L80" s="1069">
        <f>IF(L8='Refi Analysis'!$D$3,MIN('Refi Analysis'!$F$24,'Refi Analysis'!$F$36),0)</f>
        <v>0</v>
      </c>
      <c r="M80" s="1069">
        <f>IF(M8='Refi Analysis'!$D$3,MIN('Refi Analysis'!$F$24,'Refi Analysis'!$F$36),0)</f>
        <v>0</v>
      </c>
      <c r="N80" s="1069">
        <f>IF(N8='Refi Analysis'!$D$3,MIN('Refi Analysis'!$F$24,'Refi Analysis'!$F$36),0)</f>
        <v>0</v>
      </c>
      <c r="O80" s="1069">
        <f>IF(O8='Refi Analysis'!$D$3,MIN('Refi Analysis'!$F$24,'Refi Analysis'!$F$36),0)</f>
        <v>0</v>
      </c>
      <c r="P80" s="1069">
        <f>IF(P8='Refi Analysis'!$D$3,MIN('Refi Analysis'!$F$24,'Refi Analysis'!$F$36),0)</f>
        <v>0</v>
      </c>
      <c r="Q80" s="1069">
        <f>IF(Q8='Refi Analysis'!$D$3,MIN('Refi Analysis'!$F$24,'Refi Analysis'!$F$36),0)</f>
        <v>0</v>
      </c>
      <c r="R80" s="1069">
        <f>IF(R8='Refi Analysis'!$D$3,MIN('Refi Analysis'!$F$24,'Refi Analysis'!$F$36),0)</f>
        <v>0</v>
      </c>
      <c r="S80" s="1070">
        <f>IF(S8='Refi Analysis'!$D$3,MIN('Refi Analysis'!$F$24,'Refi Analysis'!$F$36),0)</f>
        <v>0</v>
      </c>
      <c r="T80" s="190"/>
      <c r="U80" s="488"/>
      <c r="V80" s="486"/>
      <c r="W80" s="486"/>
      <c r="X80" s="486"/>
      <c r="Y80" s="486"/>
      <c r="Z80" s="486"/>
      <c r="AA80" s="487"/>
    </row>
    <row r="81" spans="3:27" outlineLevel="1" x14ac:dyDescent="0.25">
      <c r="C81" s="666" t="s">
        <v>788</v>
      </c>
      <c r="D81" s="1065">
        <f>SUM(D78:D80)</f>
        <v>0</v>
      </c>
      <c r="E81" s="633">
        <f t="shared" ref="E81:S81" si="46">SUM(E78:E80)</f>
        <v>0</v>
      </c>
      <c r="F81" s="633">
        <f t="shared" si="46"/>
        <v>0</v>
      </c>
      <c r="G81" s="633">
        <f t="shared" si="46"/>
        <v>0</v>
      </c>
      <c r="H81" s="633">
        <f t="shared" si="46"/>
        <v>0</v>
      </c>
      <c r="I81" s="633">
        <f t="shared" si="46"/>
        <v>0</v>
      </c>
      <c r="J81" s="633">
        <f t="shared" si="46"/>
        <v>0</v>
      </c>
      <c r="K81" s="633">
        <f t="shared" si="46"/>
        <v>0</v>
      </c>
      <c r="L81" s="633">
        <f t="shared" si="46"/>
        <v>0</v>
      </c>
      <c r="M81" s="633">
        <f t="shared" si="46"/>
        <v>0</v>
      </c>
      <c r="N81" s="633">
        <f t="shared" si="46"/>
        <v>0</v>
      </c>
      <c r="O81" s="633">
        <f t="shared" si="46"/>
        <v>0</v>
      </c>
      <c r="P81" s="633">
        <f t="shared" si="46"/>
        <v>0</v>
      </c>
      <c r="Q81" s="633">
        <f t="shared" si="46"/>
        <v>0</v>
      </c>
      <c r="R81" s="633">
        <f t="shared" si="46"/>
        <v>0</v>
      </c>
      <c r="S81" s="1068">
        <f t="shared" si="46"/>
        <v>0</v>
      </c>
      <c r="T81" s="190"/>
      <c r="U81" s="488"/>
      <c r="V81" s="486"/>
      <c r="W81" s="486"/>
      <c r="X81" s="486"/>
      <c r="Y81" s="486"/>
      <c r="Z81" s="486"/>
      <c r="AA81" s="487"/>
    </row>
    <row r="82" spans="3:27" ht="15.75" outlineLevel="1" thickBot="1" x14ac:dyDescent="0.3">
      <c r="C82" s="671" t="s">
        <v>789</v>
      </c>
      <c r="D82" s="1071" t="str">
        <f>IFERROR(IRR(D81:S81,D72),"N/A")</f>
        <v>N/A</v>
      </c>
      <c r="E82" s="323"/>
      <c r="F82" s="323"/>
      <c r="G82" s="323"/>
      <c r="H82" s="323"/>
      <c r="I82" s="323"/>
      <c r="J82" s="323"/>
      <c r="K82" s="323"/>
      <c r="L82" s="323"/>
      <c r="M82" s="323"/>
      <c r="N82" s="323"/>
      <c r="O82" s="323"/>
      <c r="P82" s="323"/>
      <c r="Q82" s="323"/>
      <c r="R82" s="323"/>
      <c r="S82" s="1072"/>
      <c r="T82" s="209"/>
      <c r="U82" s="495"/>
      <c r="V82" s="496"/>
      <c r="W82" s="496"/>
      <c r="X82" s="496"/>
      <c r="Y82" s="496"/>
      <c r="Z82" s="496"/>
      <c r="AA82" s="497"/>
    </row>
    <row r="84" spans="3:27" x14ac:dyDescent="0.25">
      <c r="C84" t="s">
        <v>795</v>
      </c>
    </row>
  </sheetData>
  <sheetProtection sheet="1" objects="1" scenarios="1" formatCells="0"/>
  <mergeCells count="7">
    <mergeCell ref="E7:S7"/>
    <mergeCell ref="U6:AA6"/>
    <mergeCell ref="P1:R1"/>
    <mergeCell ref="P2:R2"/>
    <mergeCell ref="P3:R3"/>
    <mergeCell ref="P4:R4"/>
    <mergeCell ref="C6:S6"/>
  </mergeCells>
  <pageMargins left="0.25" right="0.25" top="0.25" bottom="0.25" header="0.05" footer="0.05"/>
  <pageSetup scale="63" orientation="landscape" r:id="rId1"/>
  <headerFooter>
    <oddFooter>&amp;L&amp;F</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B1DA1-5EFA-443B-B226-4CC21FDF7160}">
  <sheetPr codeName="Sheet13">
    <pageSetUpPr fitToPage="1"/>
  </sheetPr>
  <dimension ref="B1:U36"/>
  <sheetViews>
    <sheetView showGridLines="0" zoomScaleNormal="100" workbookViewId="0">
      <selection activeCell="J32" sqref="J32"/>
    </sheetView>
  </sheetViews>
  <sheetFormatPr defaultRowHeight="15" x14ac:dyDescent="0.25"/>
  <cols>
    <col min="1" max="1" width="3.85546875" customWidth="1"/>
    <col min="6" max="6" width="11" bestFit="1" customWidth="1"/>
    <col min="9" max="9" width="14.7109375" customWidth="1"/>
    <col min="10" max="10" width="13" customWidth="1"/>
    <col min="11" max="11" width="3.85546875" customWidth="1"/>
    <col min="16" max="16" width="10" bestFit="1" customWidth="1"/>
    <col min="20" max="20" width="10" bestFit="1" customWidth="1"/>
  </cols>
  <sheetData>
    <row r="1" spans="2:21" ht="15.75" thickBot="1" x14ac:dyDescent="0.3">
      <c r="B1" s="1372" t="str">
        <f>UPPER(Summary!$E$7)&amp; " REFINANCE ANALYSIS"</f>
        <v xml:space="preserve"> REFINANCE ANALYSIS</v>
      </c>
      <c r="C1" s="1373"/>
      <c r="D1" s="1373"/>
      <c r="E1" s="1373"/>
      <c r="F1" s="1373"/>
      <c r="G1" s="1373"/>
      <c r="H1" s="1373"/>
      <c r="I1" s="1373"/>
      <c r="J1" s="1373"/>
      <c r="K1" s="1373"/>
      <c r="L1" s="1373"/>
      <c r="M1" s="1373"/>
      <c r="N1" s="1373"/>
      <c r="O1" s="1373"/>
      <c r="P1" s="1373"/>
      <c r="Q1" s="1373"/>
      <c r="R1" s="1373"/>
      <c r="S1" s="1373"/>
      <c r="T1" s="1374"/>
    </row>
    <row r="2" spans="2:21" ht="15.75" thickBot="1" x14ac:dyDescent="0.3"/>
    <row r="3" spans="2:21" ht="15.75" thickBot="1" x14ac:dyDescent="0.3">
      <c r="B3" s="212" t="s">
        <v>338</v>
      </c>
      <c r="C3" s="213"/>
      <c r="D3" s="223">
        <v>15</v>
      </c>
    </row>
    <row r="4" spans="2:21" ht="15.75" thickBot="1" x14ac:dyDescent="0.3"/>
    <row r="5" spans="2:21" ht="15.75" customHeight="1" thickBot="1" x14ac:dyDescent="0.3">
      <c r="B5" s="1535" t="str">
        <f>"Refinance of 1st Mortgage in Year " &amp; D3</f>
        <v>Refinance of 1st Mortgage in Year 15</v>
      </c>
      <c r="C5" s="1536"/>
      <c r="D5" s="1536"/>
      <c r="E5" s="1536"/>
      <c r="F5" s="1536"/>
      <c r="G5" s="1536"/>
      <c r="H5" s="1536"/>
      <c r="I5" s="1536"/>
      <c r="J5" s="1537"/>
      <c r="L5" s="1535" t="s">
        <v>335</v>
      </c>
      <c r="M5" s="1536"/>
      <c r="N5" s="1536"/>
      <c r="O5" s="1536"/>
      <c r="P5" s="1536"/>
      <c r="Q5" s="1536"/>
      <c r="R5" s="1536"/>
      <c r="S5" s="1536"/>
      <c r="T5" s="1537"/>
    </row>
    <row r="6" spans="2:21" x14ac:dyDescent="0.25">
      <c r="B6" s="1281" t="s">
        <v>266</v>
      </c>
      <c r="C6" s="1282"/>
      <c r="D6" s="1282"/>
      <c r="E6" s="1282"/>
      <c r="F6" s="1282"/>
      <c r="G6" s="1282" t="s">
        <v>267</v>
      </c>
      <c r="H6" s="1282"/>
      <c r="I6" s="1282"/>
      <c r="J6" s="1538"/>
      <c r="L6" s="1281" t="s">
        <v>268</v>
      </c>
      <c r="M6" s="1282"/>
      <c r="N6" s="1282"/>
      <c r="O6" s="1282"/>
      <c r="P6" s="1282"/>
      <c r="Q6" s="240" t="s">
        <v>276</v>
      </c>
      <c r="R6" s="240"/>
      <c r="S6" s="240"/>
      <c r="T6" s="425"/>
    </row>
    <row r="7" spans="2:21" x14ac:dyDescent="0.25">
      <c r="B7" s="1281"/>
      <c r="C7" s="1282"/>
      <c r="D7" s="1282"/>
      <c r="E7" s="1282"/>
      <c r="F7" s="22" t="str">
        <f>"Year " &amp; $D$3</f>
        <v>Year 15</v>
      </c>
      <c r="G7" s="1539"/>
      <c r="H7" s="1539"/>
      <c r="I7" s="1539"/>
      <c r="J7" s="23" t="str">
        <f>"Year " &amp; $D$3</f>
        <v>Year 15</v>
      </c>
      <c r="L7" s="1552"/>
      <c r="M7" s="1553"/>
      <c r="N7" s="1553"/>
      <c r="O7" s="1554"/>
      <c r="P7" s="240" t="str">
        <f>"Year " &amp; $D$3</f>
        <v>Year 15</v>
      </c>
      <c r="Q7" s="1193"/>
      <c r="R7" s="1193"/>
      <c r="S7" s="1193"/>
      <c r="T7" s="23" t="str">
        <f>"Year " &amp; $D$3</f>
        <v>Year 15</v>
      </c>
    </row>
    <row r="8" spans="2:21" x14ac:dyDescent="0.25">
      <c r="B8" s="1270" t="s">
        <v>33</v>
      </c>
      <c r="C8" s="1195"/>
      <c r="D8" s="1195"/>
      <c r="E8" s="1195"/>
      <c r="F8" s="25">
        <f>HLOOKUP($D$3,'Cash Flow'!E8:S38,ROW('Cash Flow'!C38)-ROW('Cash Flow'!E8)+1,FALSE)</f>
        <v>0</v>
      </c>
      <c r="G8" s="1199" t="s">
        <v>33</v>
      </c>
      <c r="H8" s="1199"/>
      <c r="I8" s="1199"/>
      <c r="J8" s="24">
        <f>F8</f>
        <v>0</v>
      </c>
      <c r="L8" s="1270" t="s">
        <v>274</v>
      </c>
      <c r="M8" s="1199"/>
      <c r="N8" s="1199"/>
      <c r="O8" s="1199"/>
      <c r="P8" s="574">
        <f>HLOOKUP(D3,'Cash Flow'!E8:S39,ROW('Cash Flow'!C39)-ROW('Cash Flow'!E8)+1,FALSE)</f>
        <v>0</v>
      </c>
      <c r="Q8" s="1199" t="s">
        <v>274</v>
      </c>
      <c r="R8" s="1199"/>
      <c r="S8" s="1199"/>
      <c r="T8" s="24">
        <f>P8</f>
        <v>0</v>
      </c>
    </row>
    <row r="9" spans="2:21" x14ac:dyDescent="0.25">
      <c r="B9" s="1270" t="s">
        <v>351</v>
      </c>
      <c r="C9" s="1195"/>
      <c r="D9" s="1195"/>
      <c r="E9" s="1195"/>
      <c r="F9" s="32">
        <f>'Sources &amp; Loan Sizing'!G36+1%</f>
        <v>0.08</v>
      </c>
      <c r="G9" s="1195" t="s">
        <v>58</v>
      </c>
      <c r="H9" s="1195"/>
      <c r="I9" s="1195"/>
      <c r="J9" s="257">
        <v>1.2</v>
      </c>
      <c r="L9" s="1270" t="s">
        <v>353</v>
      </c>
      <c r="M9" s="1199"/>
      <c r="N9" s="1199"/>
      <c r="O9" s="1199"/>
      <c r="P9" s="575">
        <f>'Sources &amp; Loan Sizing'!G71-D3*2</f>
        <v>22</v>
      </c>
      <c r="Q9" s="1195" t="s">
        <v>58</v>
      </c>
      <c r="R9" s="1195"/>
      <c r="S9" s="1195"/>
      <c r="T9" s="576">
        <v>1.1000000000000001</v>
      </c>
    </row>
    <row r="10" spans="2:21" x14ac:dyDescent="0.25">
      <c r="B10" s="1190" t="s">
        <v>110</v>
      </c>
      <c r="C10" s="1191"/>
      <c r="D10" s="1191"/>
      <c r="E10" s="1192"/>
      <c r="F10" s="4">
        <f>F8/F9</f>
        <v>0</v>
      </c>
      <c r="G10" s="1195" t="s">
        <v>50</v>
      </c>
      <c r="H10" s="1195"/>
      <c r="I10" s="1195"/>
      <c r="J10" s="24">
        <f>J8/J9</f>
        <v>0</v>
      </c>
      <c r="L10" s="1270" t="s">
        <v>263</v>
      </c>
      <c r="M10" s="1199"/>
      <c r="N10" s="1199"/>
      <c r="O10" s="1199"/>
      <c r="P10" s="573">
        <f>J11</f>
        <v>0.02</v>
      </c>
      <c r="Q10" s="1195" t="s">
        <v>50</v>
      </c>
      <c r="R10" s="1195"/>
      <c r="S10" s="1195"/>
      <c r="T10" s="24">
        <f>T8/T9</f>
        <v>0</v>
      </c>
    </row>
    <row r="11" spans="2:21" x14ac:dyDescent="0.25">
      <c r="B11" s="1555"/>
      <c r="C11" s="1556"/>
      <c r="D11" s="1556"/>
      <c r="E11" s="1557"/>
      <c r="F11" s="251"/>
      <c r="G11" s="1558" t="s">
        <v>455</v>
      </c>
      <c r="H11" s="1195"/>
      <c r="I11" s="1195"/>
      <c r="J11" s="261">
        <f>'Sources &amp; Loan Sizing'!G12+2%</f>
        <v>0.02</v>
      </c>
      <c r="L11" s="1203" t="s">
        <v>264</v>
      </c>
      <c r="M11" s="1193"/>
      <c r="N11" s="1193"/>
      <c r="O11" s="1193"/>
      <c r="P11" s="4">
        <f>ROUND(-PV(P10/2,P9,P8/2),-2)</f>
        <v>0</v>
      </c>
      <c r="Q11" s="1195" t="s">
        <v>59</v>
      </c>
      <c r="R11" s="1195"/>
      <c r="S11" s="1195"/>
      <c r="T11" s="24">
        <f>MIN(T10:T10)</f>
        <v>0</v>
      </c>
    </row>
    <row r="12" spans="2:21" x14ac:dyDescent="0.25">
      <c r="B12" s="1196" t="s">
        <v>352</v>
      </c>
      <c r="C12" s="1197"/>
      <c r="D12" s="1197"/>
      <c r="E12" s="1198"/>
      <c r="F12" s="573">
        <v>0.8</v>
      </c>
      <c r="G12" s="1195" t="s">
        <v>61</v>
      </c>
      <c r="H12" s="1195"/>
      <c r="I12" s="1195"/>
      <c r="J12" s="256">
        <v>30</v>
      </c>
      <c r="L12" s="1270"/>
      <c r="M12" s="1199"/>
      <c r="N12" s="1199"/>
      <c r="O12" s="1199"/>
      <c r="P12" s="254"/>
      <c r="Q12" s="1195" t="s">
        <v>60</v>
      </c>
      <c r="R12" s="1195"/>
      <c r="S12" s="1195"/>
      <c r="T12" s="255">
        <f>P10</f>
        <v>0.02</v>
      </c>
    </row>
    <row r="13" spans="2:21" x14ac:dyDescent="0.25">
      <c r="B13" s="1190" t="s">
        <v>90</v>
      </c>
      <c r="C13" s="1191"/>
      <c r="D13" s="1191"/>
      <c r="E13" s="1192"/>
      <c r="F13" s="4">
        <f>F10*F12</f>
        <v>0</v>
      </c>
      <c r="G13" s="1193" t="s">
        <v>265</v>
      </c>
      <c r="H13" s="1193"/>
      <c r="I13" s="1193"/>
      <c r="J13" s="194">
        <f>PV(J11/12,J12*12,-J10/12,,)</f>
        <v>0</v>
      </c>
      <c r="K13" s="250"/>
      <c r="L13" s="1270" t="s">
        <v>270</v>
      </c>
      <c r="M13" s="1199"/>
      <c r="N13" s="1199"/>
      <c r="O13" s="1199"/>
      <c r="P13" s="573">
        <v>0.8</v>
      </c>
      <c r="Q13" s="1199" t="s">
        <v>275</v>
      </c>
      <c r="R13" s="1195"/>
      <c r="S13" s="1195"/>
      <c r="T13" s="572">
        <f>P9/2</f>
        <v>11</v>
      </c>
      <c r="U13" s="250"/>
    </row>
    <row r="14" spans="2:21" ht="16.5" thickBot="1" x14ac:dyDescent="0.3">
      <c r="B14" s="1543"/>
      <c r="C14" s="1544"/>
      <c r="D14" s="1544"/>
      <c r="E14" s="1544"/>
      <c r="F14" s="252"/>
      <c r="G14" s="1229" t="s">
        <v>454</v>
      </c>
      <c r="H14" s="1229"/>
      <c r="I14" s="1229"/>
      <c r="J14" s="253">
        <f>MIN(F13,J13)</f>
        <v>0</v>
      </c>
      <c r="L14" s="1283" t="s">
        <v>674</v>
      </c>
      <c r="M14" s="1199"/>
      <c r="N14" s="1199"/>
      <c r="O14" s="1199"/>
      <c r="P14" s="4">
        <f>P11*P13+F13-F29</f>
        <v>0</v>
      </c>
      <c r="Q14" s="1193" t="s">
        <v>265</v>
      </c>
      <c r="R14" s="1193"/>
      <c r="S14" s="1193"/>
      <c r="T14" s="194">
        <f>PV(T12/12,T13*12,-T11/12,,)</f>
        <v>0</v>
      </c>
    </row>
    <row r="15" spans="2:21" ht="15.75" thickBot="1" x14ac:dyDescent="0.3">
      <c r="L15" s="1543"/>
      <c r="M15" s="1544"/>
      <c r="N15" s="1544"/>
      <c r="O15" s="1544"/>
      <c r="P15" s="252"/>
      <c r="Q15" s="1229" t="s">
        <v>454</v>
      </c>
      <c r="R15" s="1229"/>
      <c r="S15" s="1229"/>
      <c r="T15" s="11">
        <f>MIN(P14,T14)</f>
        <v>0</v>
      </c>
    </row>
    <row r="17" spans="2:6" ht="15.75" thickBot="1" x14ac:dyDescent="0.3"/>
    <row r="18" spans="2:6" ht="15.75" thickBot="1" x14ac:dyDescent="0.3">
      <c r="B18" s="1535" t="s">
        <v>336</v>
      </c>
      <c r="C18" s="1536"/>
      <c r="D18" s="1536"/>
      <c r="E18" s="1536"/>
      <c r="F18" s="1537"/>
    </row>
    <row r="19" spans="2:6" x14ac:dyDescent="0.25">
      <c r="B19" s="198"/>
      <c r="C19" s="196"/>
      <c r="D19" s="196"/>
      <c r="E19" s="197"/>
      <c r="F19" s="195" t="str">
        <f>"Year " &amp; $D$3</f>
        <v>Year 15</v>
      </c>
    </row>
    <row r="20" spans="2:6" x14ac:dyDescent="0.25">
      <c r="B20" s="1190" t="s">
        <v>337</v>
      </c>
      <c r="C20" s="1191"/>
      <c r="D20" s="1191"/>
      <c r="E20" s="1192"/>
      <c r="F20" s="24"/>
    </row>
    <row r="21" spans="2:6" x14ac:dyDescent="0.25">
      <c r="B21" s="1540" t="s">
        <v>37</v>
      </c>
      <c r="C21" s="1541"/>
      <c r="D21" s="1541"/>
      <c r="E21" s="1542"/>
      <c r="F21" s="24">
        <f>IFERROR(ROUND(VLOOKUP(D3,'Amortization Schedule'!C:I,7,FALSE),-3),0)</f>
        <v>0</v>
      </c>
    </row>
    <row r="22" spans="2:6" x14ac:dyDescent="0.25">
      <c r="B22" s="1540" t="s">
        <v>346</v>
      </c>
      <c r="C22" s="1541"/>
      <c r="D22" s="1541"/>
      <c r="E22" s="1542"/>
      <c r="F22" s="24">
        <f>IFERROR(ROUND(VLOOKUP(D3,'Amortization Schedule'!M:S,7,FALSE),-3),0)</f>
        <v>0</v>
      </c>
    </row>
    <row r="23" spans="2:6" x14ac:dyDescent="0.25">
      <c r="B23" s="1545" t="s">
        <v>781</v>
      </c>
      <c r="C23" s="1541"/>
      <c r="D23" s="1541"/>
      <c r="E23" s="1542"/>
      <c r="F23" s="215">
        <f>IF(AND('Sources &amp; Loan Sizing'!M85="x",'Sources &amp; Loan Sizing'!M86&lt;&gt;"x"),IFERROR(ROUND(VLOOKUP(D3,'Amortization Schedule'!W:AC,7,FALSE),-3),0),0)</f>
        <v>0</v>
      </c>
    </row>
    <row r="24" spans="2:6" x14ac:dyDescent="0.25">
      <c r="B24" s="644" t="s">
        <v>780</v>
      </c>
      <c r="C24" s="622"/>
      <c r="D24" s="622"/>
      <c r="E24" s="623"/>
      <c r="F24" s="215" t="b">
        <f>IF('Sources &amp; Loan Sizing'!M86="x",HLOOKUP('Refi Analysis'!D3,'Cash Flow'!E8:S75,'Cash Flow'!A75,FALSE))</f>
        <v>0</v>
      </c>
    </row>
    <row r="25" spans="2:6" x14ac:dyDescent="0.25">
      <c r="B25" s="1540" t="s">
        <v>344</v>
      </c>
      <c r="C25" s="1541"/>
      <c r="D25" s="1541"/>
      <c r="E25" s="1542"/>
      <c r="F25" s="10"/>
    </row>
    <row r="26" spans="2:6" x14ac:dyDescent="0.25">
      <c r="B26" s="1546" t="s">
        <v>339</v>
      </c>
      <c r="C26" s="1547"/>
      <c r="D26" s="1547"/>
      <c r="E26" s="1548"/>
      <c r="F26" s="233">
        <f>F29*0.02</f>
        <v>0</v>
      </c>
    </row>
    <row r="27" spans="2:6" ht="15.75" thickBot="1" x14ac:dyDescent="0.3">
      <c r="B27" s="1237" t="s">
        <v>347</v>
      </c>
      <c r="C27" s="1238"/>
      <c r="D27" s="1238"/>
      <c r="E27" s="1239"/>
      <c r="F27" s="11">
        <f>SUM(F21:F26)</f>
        <v>0</v>
      </c>
    </row>
    <row r="28" spans="2:6" x14ac:dyDescent="0.25">
      <c r="B28" s="226" t="s">
        <v>348</v>
      </c>
      <c r="C28" s="227"/>
      <c r="D28" s="227"/>
      <c r="E28" s="228"/>
      <c r="F28" s="229"/>
    </row>
    <row r="29" spans="2:6" x14ac:dyDescent="0.25">
      <c r="B29" s="1549" t="s">
        <v>340</v>
      </c>
      <c r="C29" s="1550"/>
      <c r="D29" s="1550"/>
      <c r="E29" s="1551"/>
      <c r="F29" s="230">
        <f>ROUND(J14,-3)</f>
        <v>0</v>
      </c>
    </row>
    <row r="30" spans="2:6" x14ac:dyDescent="0.25">
      <c r="B30" s="1540" t="s">
        <v>341</v>
      </c>
      <c r="C30" s="1541"/>
      <c r="D30" s="1541"/>
      <c r="E30" s="1542"/>
      <c r="F30" s="225">
        <f>ROUND(T15,-3)</f>
        <v>0</v>
      </c>
    </row>
    <row r="31" spans="2:6" x14ac:dyDescent="0.25">
      <c r="B31" s="1546" t="s">
        <v>345</v>
      </c>
      <c r="C31" s="1547"/>
      <c r="D31" s="1547"/>
      <c r="E31" s="1548"/>
      <c r="F31" s="233"/>
    </row>
    <row r="32" spans="2:6" ht="15.75" thickBot="1" x14ac:dyDescent="0.3">
      <c r="B32" s="1237" t="s">
        <v>342</v>
      </c>
      <c r="C32" s="1238"/>
      <c r="D32" s="1238"/>
      <c r="E32" s="1239"/>
      <c r="F32" s="11">
        <f>SUM(F29:F31)</f>
        <v>0</v>
      </c>
    </row>
    <row r="33" spans="2:6" ht="15.75" thickBot="1" x14ac:dyDescent="0.3">
      <c r="B33" s="1514" t="s">
        <v>343</v>
      </c>
      <c r="C33" s="1515"/>
      <c r="D33" s="1515"/>
      <c r="E33" s="1516"/>
      <c r="F33" s="231">
        <f>F32-F27</f>
        <v>0</v>
      </c>
    </row>
    <row r="34" spans="2:6" ht="15.75" thickBot="1" x14ac:dyDescent="0.3">
      <c r="B34" s="1514" t="s">
        <v>755</v>
      </c>
      <c r="C34" s="1515"/>
      <c r="D34" s="1515"/>
      <c r="E34" s="1516"/>
      <c r="F34" s="645" t="e">
        <f>F33/(F29+F30)</f>
        <v>#DIV/0!</v>
      </c>
    </row>
    <row r="36" spans="2:6" x14ac:dyDescent="0.25">
      <c r="B36" s="52" t="s">
        <v>787</v>
      </c>
      <c r="C36" s="52"/>
      <c r="D36" s="52"/>
      <c r="E36" s="52"/>
      <c r="F36" s="633">
        <f>F32-F26-F22-F21</f>
        <v>0</v>
      </c>
    </row>
  </sheetData>
  <sheetProtection sheet="1" objects="1" scenarios="1" formatCells="0"/>
  <mergeCells count="54">
    <mergeCell ref="B34:E34"/>
    <mergeCell ref="Q15:S15"/>
    <mergeCell ref="L7:O7"/>
    <mergeCell ref="B11:E11"/>
    <mergeCell ref="B10:E10"/>
    <mergeCell ref="B12:E12"/>
    <mergeCell ref="B13:E13"/>
    <mergeCell ref="G10:I10"/>
    <mergeCell ref="G11:I11"/>
    <mergeCell ref="G12:I12"/>
    <mergeCell ref="G13:I13"/>
    <mergeCell ref="Q9:S9"/>
    <mergeCell ref="Q10:S10"/>
    <mergeCell ref="Q11:S11"/>
    <mergeCell ref="Q12:S12"/>
    <mergeCell ref="Q13:S13"/>
    <mergeCell ref="Q14:S14"/>
    <mergeCell ref="L13:O13"/>
    <mergeCell ref="L14:O14"/>
    <mergeCell ref="B23:E23"/>
    <mergeCell ref="B33:E33"/>
    <mergeCell ref="B30:E30"/>
    <mergeCell ref="B31:E31"/>
    <mergeCell ref="B32:E32"/>
    <mergeCell ref="B26:E26"/>
    <mergeCell ref="B25:E25"/>
    <mergeCell ref="B27:E27"/>
    <mergeCell ref="B29:E29"/>
    <mergeCell ref="Q7:S7"/>
    <mergeCell ref="L8:O8"/>
    <mergeCell ref="Q8:S8"/>
    <mergeCell ref="B22:E22"/>
    <mergeCell ref="B18:F18"/>
    <mergeCell ref="B20:E20"/>
    <mergeCell ref="L9:O9"/>
    <mergeCell ref="B21:E21"/>
    <mergeCell ref="L10:O10"/>
    <mergeCell ref="L11:O11"/>
    <mergeCell ref="L12:O12"/>
    <mergeCell ref="B9:E9"/>
    <mergeCell ref="G9:I9"/>
    <mergeCell ref="G14:I14"/>
    <mergeCell ref="B14:E14"/>
    <mergeCell ref="L15:O15"/>
    <mergeCell ref="B7:E7"/>
    <mergeCell ref="B8:E8"/>
    <mergeCell ref="G7:I7"/>
    <mergeCell ref="G8:I8"/>
    <mergeCell ref="L6:P6"/>
    <mergeCell ref="B1:T1"/>
    <mergeCell ref="L5:T5"/>
    <mergeCell ref="B5:J5"/>
    <mergeCell ref="B6:F6"/>
    <mergeCell ref="G6:J6"/>
  </mergeCells>
  <pageMargins left="0.7" right="0.7" top="0.75" bottom="0.75" header="0.3" footer="0.3"/>
  <pageSetup scale="67" orientation="landscape" r:id="rId1"/>
  <ignoredErrors>
    <ignoredError sqref="F29:F30 F27" unlockedFormula="1"/>
  </ignoredError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FF5A9-6F75-4BAF-9443-D0002320A127}">
  <sheetPr codeName="Sheet12">
    <pageSetUpPr fitToPage="1"/>
  </sheetPr>
  <dimension ref="A1:AP89"/>
  <sheetViews>
    <sheetView showGridLines="0" zoomScaleNormal="100" zoomScaleSheetLayoutView="100" workbookViewId="0">
      <pane xSplit="6" ySplit="6" topLeftCell="G7" activePane="bottomRight" state="frozen"/>
      <selection activeCell="G20" sqref="G20:H20"/>
      <selection pane="topRight" activeCell="G20" sqref="G20:H20"/>
      <selection pane="bottomLeft" activeCell="G20" sqref="G20:H20"/>
      <selection pane="bottomRight" activeCell="AM74" sqref="AM74"/>
    </sheetView>
  </sheetViews>
  <sheetFormatPr defaultColWidth="9.140625" defaultRowHeight="12.75" outlineLevelCol="1" x14ac:dyDescent="0.2"/>
  <cols>
    <col min="1" max="3" width="9.140625" style="381"/>
    <col min="4" max="4" width="11.7109375" style="381" customWidth="1"/>
    <col min="5" max="5" width="11" style="381" bestFit="1" customWidth="1"/>
    <col min="6" max="6" width="10.85546875" style="381" customWidth="1"/>
    <col min="7" max="7" width="11" style="381" bestFit="1" customWidth="1"/>
    <col min="8" max="19" width="10.7109375" style="381" customWidth="1"/>
    <col min="20" max="37" width="10.7109375" style="381" customWidth="1" outlineLevel="1"/>
    <col min="38" max="38" width="2.85546875" style="381" customWidth="1"/>
    <col min="39" max="40" width="11.42578125" style="381" bestFit="1" customWidth="1"/>
    <col min="41" max="41" width="3.28515625" style="381" customWidth="1"/>
    <col min="42" max="16384" width="9.140625" style="381"/>
  </cols>
  <sheetData>
    <row r="1" spans="2:42" ht="15.75" thickBot="1" x14ac:dyDescent="0.25">
      <c r="B1" s="1372" t="str">
        <f>UPPER(Summary!$E$7)&amp; " PROPOSED DRAW SCHEDULE"</f>
        <v xml:space="preserve"> PROPOSED DRAW SCHEDULE</v>
      </c>
      <c r="C1" s="1373"/>
      <c r="D1" s="1373"/>
      <c r="E1" s="1373"/>
      <c r="F1" s="1373"/>
      <c r="G1" s="1373"/>
      <c r="H1" s="1373"/>
      <c r="I1" s="1373"/>
      <c r="J1" s="1373"/>
      <c r="K1" s="1373"/>
      <c r="L1" s="1373"/>
      <c r="M1" s="1373"/>
      <c r="N1" s="1373"/>
      <c r="O1" s="1373"/>
      <c r="P1" s="1373"/>
      <c r="Q1" s="1373"/>
      <c r="R1" s="1373"/>
      <c r="S1" s="1373"/>
      <c r="T1" s="1373"/>
      <c r="U1" s="1373"/>
      <c r="V1" s="1373"/>
      <c r="W1" s="1373"/>
      <c r="X1" s="1373"/>
      <c r="Y1" s="1373"/>
      <c r="Z1" s="1373"/>
      <c r="AA1" s="1373"/>
      <c r="AB1" s="1373"/>
      <c r="AC1" s="1373"/>
      <c r="AD1" s="1373"/>
      <c r="AE1" s="1373"/>
      <c r="AF1" s="1373"/>
      <c r="AG1" s="1373"/>
      <c r="AH1" s="1373"/>
      <c r="AI1" s="1373"/>
      <c r="AJ1" s="1373"/>
      <c r="AK1" s="1373"/>
      <c r="AL1" s="1373"/>
      <c r="AM1" s="1373"/>
      <c r="AN1" s="1374"/>
    </row>
    <row r="3" spans="2:42" x14ac:dyDescent="0.2">
      <c r="G3" s="382" t="s">
        <v>612</v>
      </c>
      <c r="H3" s="382" t="s">
        <v>613</v>
      </c>
      <c r="I3" s="382" t="s">
        <v>614</v>
      </c>
      <c r="J3" s="382" t="s">
        <v>615</v>
      </c>
      <c r="K3" s="382" t="s">
        <v>616</v>
      </c>
      <c r="L3" s="382" t="s">
        <v>617</v>
      </c>
      <c r="M3" s="382" t="s">
        <v>618</v>
      </c>
      <c r="N3" s="382" t="s">
        <v>619</v>
      </c>
      <c r="O3" s="382" t="s">
        <v>620</v>
      </c>
      <c r="P3" s="382" t="s">
        <v>621</v>
      </c>
      <c r="Q3" s="382" t="s">
        <v>622</v>
      </c>
      <c r="R3" s="382" t="s">
        <v>623</v>
      </c>
      <c r="S3" s="382" t="s">
        <v>624</v>
      </c>
      <c r="T3" s="382" t="s">
        <v>625</v>
      </c>
      <c r="U3" s="382" t="s">
        <v>626</v>
      </c>
      <c r="V3" s="382" t="s">
        <v>627</v>
      </c>
      <c r="W3" s="382" t="s">
        <v>628</v>
      </c>
      <c r="X3" s="382" t="s">
        <v>629</v>
      </c>
      <c r="Y3" s="382" t="s">
        <v>630</v>
      </c>
      <c r="Z3" s="382" t="s">
        <v>631</v>
      </c>
      <c r="AA3" s="382" t="s">
        <v>632</v>
      </c>
      <c r="AB3" s="382" t="s">
        <v>633</v>
      </c>
      <c r="AC3" s="382" t="s">
        <v>634</v>
      </c>
      <c r="AD3" s="382" t="s">
        <v>635</v>
      </c>
      <c r="AE3" s="382" t="s">
        <v>1027</v>
      </c>
      <c r="AF3" s="382" t="s">
        <v>1028</v>
      </c>
      <c r="AG3" s="382" t="s">
        <v>1029</v>
      </c>
      <c r="AH3" s="382" t="s">
        <v>1030</v>
      </c>
      <c r="AI3" s="382" t="s">
        <v>1031</v>
      </c>
      <c r="AJ3" s="382" t="s">
        <v>1032</v>
      </c>
      <c r="AK3" s="382" t="s">
        <v>1033</v>
      </c>
      <c r="AM3" s="1581" t="s">
        <v>637</v>
      </c>
      <c r="AN3" s="1581" t="s">
        <v>36</v>
      </c>
      <c r="AP3" s="384" t="s">
        <v>638</v>
      </c>
    </row>
    <row r="4" spans="2:42" ht="38.25" x14ac:dyDescent="0.2">
      <c r="B4" s="1578" t="s">
        <v>639</v>
      </c>
      <c r="C4" s="1579"/>
      <c r="D4" s="1580"/>
      <c r="E4" s="382" t="s">
        <v>611</v>
      </c>
      <c r="F4" s="382" t="s">
        <v>640</v>
      </c>
      <c r="G4" s="385">
        <f>'Sources &amp; Loan Sizing'!I103</f>
        <v>0</v>
      </c>
      <c r="H4" s="385">
        <f>DATE(YEAR(G4),MONTH(G4)+1,DAY(G4))</f>
        <v>31</v>
      </c>
      <c r="I4" s="385">
        <f t="shared" ref="I4:U4" si="0">DATE(YEAR(H4),MONTH(H4)+1,DAY(H4))</f>
        <v>62</v>
      </c>
      <c r="J4" s="385">
        <f t="shared" si="0"/>
        <v>93</v>
      </c>
      <c r="K4" s="385">
        <f t="shared" si="0"/>
        <v>123</v>
      </c>
      <c r="L4" s="385">
        <f t="shared" si="0"/>
        <v>154</v>
      </c>
      <c r="M4" s="385">
        <f t="shared" si="0"/>
        <v>184</v>
      </c>
      <c r="N4" s="385">
        <f t="shared" si="0"/>
        <v>215</v>
      </c>
      <c r="O4" s="385">
        <f t="shared" si="0"/>
        <v>246</v>
      </c>
      <c r="P4" s="385">
        <f t="shared" si="0"/>
        <v>276</v>
      </c>
      <c r="Q4" s="385">
        <f t="shared" si="0"/>
        <v>307</v>
      </c>
      <c r="R4" s="385">
        <f t="shared" si="0"/>
        <v>337</v>
      </c>
      <c r="S4" s="385">
        <f t="shared" si="0"/>
        <v>368</v>
      </c>
      <c r="T4" s="385">
        <f t="shared" si="0"/>
        <v>399</v>
      </c>
      <c r="U4" s="385">
        <f t="shared" si="0"/>
        <v>427</v>
      </c>
      <c r="V4" s="385">
        <f t="shared" ref="V4" si="1">DATE(YEAR(U4),MONTH(U4)+1,DAY(U4))</f>
        <v>458</v>
      </c>
      <c r="W4" s="385">
        <f t="shared" ref="W4" si="2">DATE(YEAR(V4),MONTH(V4)+1,DAY(V4))</f>
        <v>488</v>
      </c>
      <c r="X4" s="385">
        <f t="shared" ref="X4" si="3">DATE(YEAR(W4),MONTH(W4)+1,DAY(W4))</f>
        <v>519</v>
      </c>
      <c r="Y4" s="385">
        <f t="shared" ref="Y4" si="4">DATE(YEAR(X4),MONTH(X4)+1,DAY(X4))</f>
        <v>549</v>
      </c>
      <c r="Z4" s="385">
        <f t="shared" ref="Z4" si="5">DATE(YEAR(Y4),MONTH(Y4)+1,DAY(Y4))</f>
        <v>580</v>
      </c>
      <c r="AA4" s="385">
        <f t="shared" ref="AA4" si="6">DATE(YEAR(Z4),MONTH(Z4)+1,DAY(Z4))</f>
        <v>611</v>
      </c>
      <c r="AB4" s="385">
        <f t="shared" ref="AB4" si="7">DATE(YEAR(AA4),MONTH(AA4)+1,DAY(AA4))</f>
        <v>641</v>
      </c>
      <c r="AC4" s="385">
        <f t="shared" ref="AC4" si="8">DATE(YEAR(AB4),MONTH(AB4)+1,DAY(AB4))</f>
        <v>672</v>
      </c>
      <c r="AD4" s="385">
        <f t="shared" ref="AD4" si="9">DATE(YEAR(AC4),MONTH(AC4)+1,DAY(AC4))</f>
        <v>702</v>
      </c>
      <c r="AE4" s="385">
        <f t="shared" ref="AE4" si="10">DATE(YEAR(AD4),MONTH(AD4)+1,DAY(AD4))</f>
        <v>733</v>
      </c>
      <c r="AF4" s="385">
        <f t="shared" ref="AF4" si="11">DATE(YEAR(AE4),MONTH(AE4)+1,DAY(AE4))</f>
        <v>764</v>
      </c>
      <c r="AG4" s="385">
        <f t="shared" ref="AG4" si="12">DATE(YEAR(AF4),MONTH(AF4)+1,DAY(AF4))</f>
        <v>792</v>
      </c>
      <c r="AH4" s="385">
        <f t="shared" ref="AH4" si="13">DATE(YEAR(AG4),MONTH(AG4)+1,DAY(AG4))</f>
        <v>823</v>
      </c>
      <c r="AI4" s="385">
        <f t="shared" ref="AI4" si="14">DATE(YEAR(AH4),MONTH(AH4)+1,DAY(AH4))</f>
        <v>853</v>
      </c>
      <c r="AJ4" s="385">
        <f t="shared" ref="AJ4" si="15">DATE(YEAR(AI4),MONTH(AI4)+1,DAY(AI4))</f>
        <v>884</v>
      </c>
      <c r="AK4" s="385">
        <f t="shared" ref="AK4" si="16">DATE(YEAR(AJ4),MONTH(AJ4)+1,DAY(AJ4))</f>
        <v>914</v>
      </c>
      <c r="AM4" s="1582"/>
      <c r="AN4" s="1582"/>
      <c r="AP4" s="381" t="s">
        <v>641</v>
      </c>
    </row>
    <row r="5" spans="2:42" x14ac:dyDescent="0.2">
      <c r="B5" s="1578" t="s">
        <v>642</v>
      </c>
      <c r="C5" s="1579"/>
      <c r="D5" s="1580"/>
      <c r="E5" s="386">
        <v>1</v>
      </c>
      <c r="F5" s="386">
        <f>SUM(G5:AJ5)-E5</f>
        <v>0</v>
      </c>
      <c r="G5" s="387"/>
      <c r="H5" s="387">
        <f>1/12</f>
        <v>8.3333333333333329E-2</v>
      </c>
      <c r="I5" s="387">
        <f t="shared" ref="I5:S5" si="17">1/12</f>
        <v>8.3333333333333329E-2</v>
      </c>
      <c r="J5" s="387">
        <f t="shared" si="17"/>
        <v>8.3333333333333329E-2</v>
      </c>
      <c r="K5" s="387">
        <f t="shared" si="17"/>
        <v>8.3333333333333329E-2</v>
      </c>
      <c r="L5" s="387">
        <f t="shared" si="17"/>
        <v>8.3333333333333329E-2</v>
      </c>
      <c r="M5" s="387">
        <f t="shared" si="17"/>
        <v>8.3333333333333329E-2</v>
      </c>
      <c r="N5" s="387">
        <f t="shared" si="17"/>
        <v>8.3333333333333329E-2</v>
      </c>
      <c r="O5" s="387">
        <f t="shared" si="17"/>
        <v>8.3333333333333329E-2</v>
      </c>
      <c r="P5" s="387">
        <f t="shared" si="17"/>
        <v>8.3333333333333329E-2</v>
      </c>
      <c r="Q5" s="387">
        <f t="shared" si="17"/>
        <v>8.3333333333333329E-2</v>
      </c>
      <c r="R5" s="387">
        <f t="shared" si="17"/>
        <v>8.3333333333333329E-2</v>
      </c>
      <c r="S5" s="387">
        <f t="shared" si="17"/>
        <v>8.3333333333333329E-2</v>
      </c>
      <c r="T5" s="387"/>
      <c r="U5" s="387"/>
      <c r="V5" s="387"/>
      <c r="W5" s="387"/>
      <c r="X5" s="387"/>
      <c r="Y5" s="387"/>
      <c r="Z5" s="387"/>
      <c r="AA5" s="387"/>
      <c r="AB5" s="387"/>
      <c r="AC5" s="387"/>
      <c r="AD5" s="387"/>
      <c r="AE5" s="387"/>
      <c r="AF5" s="387"/>
      <c r="AG5" s="387"/>
      <c r="AH5" s="387"/>
      <c r="AI5" s="387"/>
      <c r="AJ5" s="387"/>
      <c r="AK5" s="387"/>
      <c r="AM5" s="388">
        <f t="shared" ref="AM5" si="18">SUM(T5:AK5)</f>
        <v>0</v>
      </c>
      <c r="AN5" s="388">
        <f>SUM(G5:S5)+AM5</f>
        <v>1</v>
      </c>
    </row>
    <row r="7" spans="2:42" ht="38.25" x14ac:dyDescent="0.2">
      <c r="B7" s="1578" t="s">
        <v>38</v>
      </c>
      <c r="C7" s="1579"/>
      <c r="D7" s="1580"/>
      <c r="E7" s="382" t="s">
        <v>611</v>
      </c>
      <c r="F7" s="382" t="s">
        <v>640</v>
      </c>
      <c r="G7" s="382" t="s">
        <v>612</v>
      </c>
      <c r="H7" s="382" t="s">
        <v>613</v>
      </c>
      <c r="I7" s="382" t="s">
        <v>614</v>
      </c>
      <c r="J7" s="382" t="s">
        <v>615</v>
      </c>
      <c r="K7" s="382" t="s">
        <v>616</v>
      </c>
      <c r="L7" s="382" t="s">
        <v>617</v>
      </c>
      <c r="M7" s="382" t="s">
        <v>618</v>
      </c>
      <c r="N7" s="382" t="s">
        <v>619</v>
      </c>
      <c r="O7" s="382" t="s">
        <v>620</v>
      </c>
      <c r="P7" s="382" t="s">
        <v>621</v>
      </c>
      <c r="Q7" s="382" t="s">
        <v>622</v>
      </c>
      <c r="R7" s="382" t="s">
        <v>623</v>
      </c>
      <c r="S7" s="382" t="s">
        <v>624</v>
      </c>
      <c r="T7" s="382" t="s">
        <v>625</v>
      </c>
      <c r="U7" s="382" t="s">
        <v>626</v>
      </c>
      <c r="V7" s="382" t="s">
        <v>627</v>
      </c>
      <c r="W7" s="382" t="s">
        <v>628</v>
      </c>
      <c r="X7" s="382" t="s">
        <v>629</v>
      </c>
      <c r="Y7" s="382" t="s">
        <v>630</v>
      </c>
      <c r="Z7" s="382" t="s">
        <v>631</v>
      </c>
      <c r="AA7" s="382" t="s">
        <v>632</v>
      </c>
      <c r="AB7" s="382" t="s">
        <v>633</v>
      </c>
      <c r="AC7" s="382" t="s">
        <v>634</v>
      </c>
      <c r="AD7" s="382" t="s">
        <v>635</v>
      </c>
      <c r="AE7" s="382" t="s">
        <v>1027</v>
      </c>
      <c r="AF7" s="382" t="s">
        <v>1028</v>
      </c>
      <c r="AG7" s="382" t="s">
        <v>1029</v>
      </c>
      <c r="AH7" s="382" t="s">
        <v>1030</v>
      </c>
      <c r="AI7" s="382" t="s">
        <v>1031</v>
      </c>
      <c r="AJ7" s="382" t="s">
        <v>1032</v>
      </c>
      <c r="AK7" s="382" t="s">
        <v>1033</v>
      </c>
      <c r="AM7" s="382" t="s">
        <v>637</v>
      </c>
      <c r="AN7" s="382" t="s">
        <v>36</v>
      </c>
    </row>
    <row r="8" spans="2:42" x14ac:dyDescent="0.2">
      <c r="B8" s="1564" t="str">
        <f>IF(Summary!I16&lt;&gt;"",Summary!I16,"")</f>
        <v>Acquisition</v>
      </c>
      <c r="C8" s="1565"/>
      <c r="D8" s="1566"/>
      <c r="E8" s="391">
        <f>Summary!L16</f>
        <v>0</v>
      </c>
      <c r="F8" s="390">
        <f>SUM(G8:AK8)-E8</f>
        <v>0</v>
      </c>
      <c r="G8" s="389">
        <f>E8</f>
        <v>0</v>
      </c>
      <c r="H8" s="389"/>
      <c r="I8" s="389"/>
      <c r="J8" s="389"/>
      <c r="K8" s="389"/>
      <c r="L8" s="389"/>
      <c r="M8" s="389"/>
      <c r="N8" s="389"/>
      <c r="O8" s="389"/>
      <c r="P8" s="389"/>
      <c r="Q8" s="389"/>
      <c r="R8" s="389"/>
      <c r="S8" s="389"/>
      <c r="T8" s="389"/>
      <c r="U8" s="389"/>
      <c r="V8" s="389"/>
      <c r="W8" s="389"/>
      <c r="X8" s="389"/>
      <c r="Y8" s="389"/>
      <c r="Z8" s="389"/>
      <c r="AA8" s="389"/>
      <c r="AB8" s="389"/>
      <c r="AC8" s="389"/>
      <c r="AD8" s="389"/>
      <c r="AE8" s="389"/>
      <c r="AF8" s="389"/>
      <c r="AG8" s="389"/>
      <c r="AH8" s="389"/>
      <c r="AI8" s="389"/>
      <c r="AJ8" s="389"/>
      <c r="AK8" s="389"/>
      <c r="AM8" s="391">
        <f t="shared" ref="AM8" si="19">SUM(T8:AK8)</f>
        <v>0</v>
      </c>
      <c r="AN8" s="391">
        <f>SUM(G8:S8)+AM8</f>
        <v>0</v>
      </c>
    </row>
    <row r="9" spans="2:42" x14ac:dyDescent="0.2">
      <c r="B9" s="1564" t="str">
        <f>IF(Summary!I17&lt;&gt;"",Summary!I17,"")</f>
        <v>Construction/Rehabilitation</v>
      </c>
      <c r="C9" s="1565"/>
      <c r="D9" s="1566"/>
      <c r="E9" s="391">
        <f>Summary!L17</f>
        <v>0</v>
      </c>
      <c r="F9" s="390">
        <f t="shared" ref="F9:F21" si="20">SUM(G9:AK9)-E9</f>
        <v>0</v>
      </c>
      <c r="G9" s="389"/>
      <c r="H9" s="389">
        <f>95%*($E$9*H5)</f>
        <v>0</v>
      </c>
      <c r="I9" s="389">
        <f t="shared" ref="I9:R9" si="21">95%*($E$9*I5)</f>
        <v>0</v>
      </c>
      <c r="J9" s="389">
        <f t="shared" si="21"/>
        <v>0</v>
      </c>
      <c r="K9" s="389">
        <f t="shared" si="21"/>
        <v>0</v>
      </c>
      <c r="L9" s="389">
        <f t="shared" si="21"/>
        <v>0</v>
      </c>
      <c r="M9" s="389">
        <f t="shared" si="21"/>
        <v>0</v>
      </c>
      <c r="N9" s="389">
        <f t="shared" si="21"/>
        <v>0</v>
      </c>
      <c r="O9" s="389">
        <f t="shared" si="21"/>
        <v>0</v>
      </c>
      <c r="P9" s="389">
        <f t="shared" si="21"/>
        <v>0</v>
      </c>
      <c r="Q9" s="389">
        <f t="shared" si="21"/>
        <v>0</v>
      </c>
      <c r="R9" s="389">
        <f t="shared" si="21"/>
        <v>0</v>
      </c>
      <c r="S9" s="389">
        <f>E9-SUM(G9:R9)</f>
        <v>0</v>
      </c>
      <c r="T9" s="389"/>
      <c r="U9" s="389"/>
      <c r="V9" s="389"/>
      <c r="W9" s="389"/>
      <c r="X9" s="389"/>
      <c r="Y9" s="389"/>
      <c r="Z9" s="389"/>
      <c r="AA9" s="389"/>
      <c r="AB9" s="389"/>
      <c r="AC9" s="389"/>
      <c r="AD9" s="389"/>
      <c r="AE9" s="389"/>
      <c r="AF9" s="389"/>
      <c r="AG9" s="389"/>
      <c r="AH9" s="389"/>
      <c r="AI9" s="389"/>
      <c r="AJ9" s="389"/>
      <c r="AK9" s="389"/>
      <c r="AM9" s="391">
        <f t="shared" ref="AM9:AM21" si="22">SUM(T9:AK9)</f>
        <v>0</v>
      </c>
      <c r="AN9" s="391">
        <f t="shared" ref="AN9:AN21" si="23">SUM(G9:S9)+AM9</f>
        <v>0</v>
      </c>
    </row>
    <row r="10" spans="2:42" x14ac:dyDescent="0.2">
      <c r="B10" s="1564" t="str">
        <f>IF(Summary!I18&lt;&gt;"",Summary!I18,"")</f>
        <v>Construction Contingency</v>
      </c>
      <c r="C10" s="1565"/>
      <c r="D10" s="1566"/>
      <c r="E10" s="391">
        <f>Summary!L18</f>
        <v>0</v>
      </c>
      <c r="F10" s="390">
        <f t="shared" si="20"/>
        <v>0</v>
      </c>
      <c r="G10" s="389"/>
      <c r="H10" s="389">
        <f>$E$10*H5</f>
        <v>0</v>
      </c>
      <c r="I10" s="389">
        <f t="shared" ref="I10:S10" si="24">$E$10*I5</f>
        <v>0</v>
      </c>
      <c r="J10" s="389">
        <f t="shared" si="24"/>
        <v>0</v>
      </c>
      <c r="K10" s="389">
        <f t="shared" si="24"/>
        <v>0</v>
      </c>
      <c r="L10" s="389">
        <f t="shared" si="24"/>
        <v>0</v>
      </c>
      <c r="M10" s="389">
        <f t="shared" si="24"/>
        <v>0</v>
      </c>
      <c r="N10" s="389">
        <f t="shared" si="24"/>
        <v>0</v>
      </c>
      <c r="O10" s="389">
        <f t="shared" si="24"/>
        <v>0</v>
      </c>
      <c r="P10" s="389">
        <f t="shared" si="24"/>
        <v>0</v>
      </c>
      <c r="Q10" s="389">
        <f t="shared" si="24"/>
        <v>0</v>
      </c>
      <c r="R10" s="389">
        <f t="shared" si="24"/>
        <v>0</v>
      </c>
      <c r="S10" s="389">
        <f t="shared" si="24"/>
        <v>0</v>
      </c>
      <c r="T10" s="389"/>
      <c r="U10" s="389"/>
      <c r="V10" s="389"/>
      <c r="W10" s="389"/>
      <c r="X10" s="389"/>
      <c r="Y10" s="389"/>
      <c r="Z10" s="389"/>
      <c r="AA10" s="389"/>
      <c r="AB10" s="389"/>
      <c r="AC10" s="389"/>
      <c r="AD10" s="389"/>
      <c r="AE10" s="389"/>
      <c r="AF10" s="389"/>
      <c r="AG10" s="389"/>
      <c r="AH10" s="389"/>
      <c r="AI10" s="389"/>
      <c r="AJ10" s="389"/>
      <c r="AK10" s="389"/>
      <c r="AM10" s="391">
        <f t="shared" si="22"/>
        <v>0</v>
      </c>
      <c r="AN10" s="391">
        <f t="shared" si="23"/>
        <v>0</v>
      </c>
    </row>
    <row r="11" spans="2:42" x14ac:dyDescent="0.2">
      <c r="B11" s="1564" t="str">
        <f>IF(Summary!I19&lt;&gt;"",Summary!I19,"")</f>
        <v>Environmental Abatement</v>
      </c>
      <c r="C11" s="1565"/>
      <c r="D11" s="1566"/>
      <c r="E11" s="391">
        <f>Summary!L19</f>
        <v>0</v>
      </c>
      <c r="F11" s="390">
        <f t="shared" si="20"/>
        <v>0</v>
      </c>
      <c r="G11" s="389"/>
      <c r="H11" s="389"/>
      <c r="I11" s="389"/>
      <c r="J11" s="389"/>
      <c r="K11" s="389"/>
      <c r="L11" s="389"/>
      <c r="M11" s="389"/>
      <c r="N11" s="389"/>
      <c r="O11" s="389"/>
      <c r="P11" s="389"/>
      <c r="Q11" s="389"/>
      <c r="R11" s="389"/>
      <c r="S11" s="389"/>
      <c r="T11" s="389"/>
      <c r="U11" s="389"/>
      <c r="V11" s="389"/>
      <c r="W11" s="389"/>
      <c r="X11" s="389"/>
      <c r="Y11" s="389"/>
      <c r="Z11" s="389"/>
      <c r="AA11" s="389"/>
      <c r="AB11" s="389"/>
      <c r="AC11" s="389"/>
      <c r="AD11" s="389"/>
      <c r="AE11" s="389"/>
      <c r="AF11" s="389"/>
      <c r="AG11" s="389"/>
      <c r="AH11" s="389"/>
      <c r="AI11" s="389"/>
      <c r="AJ11" s="389"/>
      <c r="AK11" s="389"/>
      <c r="AM11" s="391">
        <f t="shared" si="22"/>
        <v>0</v>
      </c>
      <c r="AN11" s="391">
        <f t="shared" si="23"/>
        <v>0</v>
      </c>
    </row>
    <row r="12" spans="2:42" x14ac:dyDescent="0.2">
      <c r="B12" s="1564" t="str">
        <f>IF(Summary!I20&lt;&gt;"",Summary!I20,"")</f>
        <v>Professional Fees &amp; Soft Costs</v>
      </c>
      <c r="C12" s="1565"/>
      <c r="D12" s="1566"/>
      <c r="E12" s="391">
        <f>Summary!L20</f>
        <v>0</v>
      </c>
      <c r="F12" s="390">
        <f t="shared" si="20"/>
        <v>0</v>
      </c>
      <c r="G12" s="389"/>
      <c r="H12" s="389"/>
      <c r="I12" s="389"/>
      <c r="J12" s="389"/>
      <c r="K12" s="389"/>
      <c r="L12" s="389"/>
      <c r="M12" s="389"/>
      <c r="N12" s="389"/>
      <c r="O12" s="389"/>
      <c r="P12" s="389"/>
      <c r="Q12" s="389"/>
      <c r="R12" s="389"/>
      <c r="S12" s="389"/>
      <c r="T12" s="389"/>
      <c r="U12" s="389"/>
      <c r="V12" s="389"/>
      <c r="W12" s="389"/>
      <c r="X12" s="389"/>
      <c r="Y12" s="389"/>
      <c r="Z12" s="389"/>
      <c r="AA12" s="389"/>
      <c r="AB12" s="389"/>
      <c r="AC12" s="389"/>
      <c r="AD12" s="389"/>
      <c r="AE12" s="389"/>
      <c r="AF12" s="389"/>
      <c r="AG12" s="389"/>
      <c r="AH12" s="389"/>
      <c r="AI12" s="389"/>
      <c r="AJ12" s="389"/>
      <c r="AK12" s="389"/>
      <c r="AM12" s="391">
        <f t="shared" si="22"/>
        <v>0</v>
      </c>
      <c r="AN12" s="391">
        <f t="shared" si="23"/>
        <v>0</v>
      </c>
    </row>
    <row r="13" spans="2:42" x14ac:dyDescent="0.2">
      <c r="B13" s="1564" t="str">
        <f>IF(Summary!I21&lt;&gt;"",Summary!I21,"")</f>
        <v>Developer Fee</v>
      </c>
      <c r="C13" s="1565"/>
      <c r="D13" s="1566"/>
      <c r="E13" s="391">
        <f>Summary!L21</f>
        <v>0</v>
      </c>
      <c r="F13" s="390">
        <f t="shared" si="20"/>
        <v>0</v>
      </c>
      <c r="G13" s="389"/>
      <c r="H13" s="389"/>
      <c r="I13" s="389"/>
      <c r="J13" s="389"/>
      <c r="K13" s="389"/>
      <c r="L13" s="389"/>
      <c r="M13" s="389"/>
      <c r="N13" s="389"/>
      <c r="O13" s="389"/>
      <c r="P13" s="389"/>
      <c r="Q13" s="389"/>
      <c r="R13" s="389"/>
      <c r="S13" s="389"/>
      <c r="T13" s="389"/>
      <c r="U13" s="389"/>
      <c r="V13" s="389"/>
      <c r="W13" s="389"/>
      <c r="X13" s="389"/>
      <c r="Y13" s="389"/>
      <c r="Z13" s="389"/>
      <c r="AA13" s="389"/>
      <c r="AB13" s="389"/>
      <c r="AC13" s="389"/>
      <c r="AD13" s="389"/>
      <c r="AE13" s="389"/>
      <c r="AF13" s="389"/>
      <c r="AG13" s="389"/>
      <c r="AH13" s="389"/>
      <c r="AI13" s="389"/>
      <c r="AJ13" s="389"/>
      <c r="AK13" s="389"/>
      <c r="AM13" s="391">
        <f t="shared" si="22"/>
        <v>0</v>
      </c>
      <c r="AN13" s="391">
        <f t="shared" si="23"/>
        <v>0</v>
      </c>
    </row>
    <row r="14" spans="2:42" x14ac:dyDescent="0.2">
      <c r="B14" s="1564" t="str">
        <f>IF(Summary!I22&lt;&gt;"",Summary!I22,"")</f>
        <v>GMHF Origination Fees</v>
      </c>
      <c r="C14" s="1565"/>
      <c r="D14" s="1566"/>
      <c r="E14" s="391">
        <f>Summary!L22</f>
        <v>0</v>
      </c>
      <c r="F14" s="390">
        <f t="shared" si="20"/>
        <v>0</v>
      </c>
      <c r="G14" s="389"/>
      <c r="H14" s="389"/>
      <c r="I14" s="389"/>
      <c r="J14" s="389"/>
      <c r="K14" s="389"/>
      <c r="L14" s="389"/>
      <c r="M14" s="389"/>
      <c r="N14" s="389"/>
      <c r="O14" s="389"/>
      <c r="P14" s="389"/>
      <c r="Q14" s="389"/>
      <c r="R14" s="389"/>
      <c r="S14" s="389"/>
      <c r="T14" s="389"/>
      <c r="U14" s="389"/>
      <c r="V14" s="389"/>
      <c r="W14" s="389"/>
      <c r="X14" s="389"/>
      <c r="Y14" s="389"/>
      <c r="Z14" s="389"/>
      <c r="AA14" s="389"/>
      <c r="AB14" s="389"/>
      <c r="AC14" s="389"/>
      <c r="AD14" s="389"/>
      <c r="AE14" s="389"/>
      <c r="AF14" s="389"/>
      <c r="AG14" s="389"/>
      <c r="AH14" s="389"/>
      <c r="AI14" s="389"/>
      <c r="AJ14" s="389"/>
      <c r="AK14" s="389"/>
      <c r="AM14" s="391">
        <f t="shared" si="22"/>
        <v>0</v>
      </c>
      <c r="AN14" s="391">
        <f t="shared" si="23"/>
        <v>0</v>
      </c>
    </row>
    <row r="15" spans="2:42" x14ac:dyDescent="0.2">
      <c r="B15" s="1564" t="str">
        <f>IF(Summary!I24&lt;&gt;"",Summary!I24,"")</f>
        <v>Other GMHF Financing Costs</v>
      </c>
      <c r="C15" s="1565"/>
      <c r="D15" s="1566"/>
      <c r="E15" s="391">
        <f>Summary!L24</f>
        <v>0</v>
      </c>
      <c r="F15" s="390">
        <f t="shared" si="20"/>
        <v>0</v>
      </c>
      <c r="G15" s="389"/>
      <c r="H15" s="389"/>
      <c r="I15" s="389"/>
      <c r="J15" s="389"/>
      <c r="K15" s="389"/>
      <c r="L15" s="389"/>
      <c r="M15" s="389"/>
      <c r="N15" s="389"/>
      <c r="O15" s="389"/>
      <c r="P15" s="389"/>
      <c r="Q15" s="389"/>
      <c r="R15" s="389"/>
      <c r="S15" s="389"/>
      <c r="T15" s="389"/>
      <c r="U15" s="389"/>
      <c r="V15" s="389"/>
      <c r="W15" s="389"/>
      <c r="X15" s="389"/>
      <c r="Y15" s="389"/>
      <c r="Z15" s="389"/>
      <c r="AA15" s="389"/>
      <c r="AB15" s="389"/>
      <c r="AC15" s="389"/>
      <c r="AD15" s="389"/>
      <c r="AE15" s="389"/>
      <c r="AF15" s="389"/>
      <c r="AG15" s="389"/>
      <c r="AH15" s="389"/>
      <c r="AI15" s="389"/>
      <c r="AJ15" s="389"/>
      <c r="AK15" s="389"/>
      <c r="AM15" s="391">
        <f t="shared" si="22"/>
        <v>0</v>
      </c>
      <c r="AN15" s="391">
        <f t="shared" si="23"/>
        <v>0</v>
      </c>
    </row>
    <row r="16" spans="2:42" x14ac:dyDescent="0.2">
      <c r="B16" s="1564" t="str">
        <f>IF(Summary!I26&lt;&gt;"",Summary!I26,"")</f>
        <v>Other Financing Costs</v>
      </c>
      <c r="C16" s="1565"/>
      <c r="D16" s="1566"/>
      <c r="E16" s="391">
        <f>Summary!L26</f>
        <v>0</v>
      </c>
      <c r="F16" s="390">
        <f t="shared" si="20"/>
        <v>0</v>
      </c>
      <c r="G16" s="389"/>
      <c r="H16" s="389"/>
      <c r="I16" s="389"/>
      <c r="J16" s="389"/>
      <c r="K16" s="389"/>
      <c r="L16" s="389"/>
      <c r="M16" s="389"/>
      <c r="N16" s="389"/>
      <c r="O16" s="389"/>
      <c r="P16" s="389"/>
      <c r="Q16" s="389"/>
      <c r="R16" s="389"/>
      <c r="S16" s="389"/>
      <c r="T16" s="389"/>
      <c r="U16" s="389"/>
      <c r="V16" s="389"/>
      <c r="W16" s="389"/>
      <c r="X16" s="389"/>
      <c r="Y16" s="389"/>
      <c r="Z16" s="389"/>
      <c r="AA16" s="389"/>
      <c r="AB16" s="389"/>
      <c r="AC16" s="389"/>
      <c r="AD16" s="389"/>
      <c r="AE16" s="389"/>
      <c r="AF16" s="389"/>
      <c r="AG16" s="389"/>
      <c r="AH16" s="389"/>
      <c r="AI16" s="389"/>
      <c r="AJ16" s="389"/>
      <c r="AK16" s="389"/>
      <c r="AM16" s="391">
        <f t="shared" si="22"/>
        <v>0</v>
      </c>
      <c r="AN16" s="391">
        <f t="shared" si="23"/>
        <v>0</v>
      </c>
    </row>
    <row r="17" spans="2:42" x14ac:dyDescent="0.2">
      <c r="B17" s="1564" t="str">
        <f>IF(Summary!I27&lt;&gt;"",Summary!I27,"")</f>
        <v>Title &amp; Closing Costs</v>
      </c>
      <c r="C17" s="1565"/>
      <c r="D17" s="1566"/>
      <c r="E17" s="391">
        <f>Summary!L27</f>
        <v>0</v>
      </c>
      <c r="F17" s="390">
        <f t="shared" si="20"/>
        <v>0</v>
      </c>
      <c r="G17" s="389"/>
      <c r="H17" s="389"/>
      <c r="I17" s="389"/>
      <c r="J17" s="389"/>
      <c r="K17" s="389"/>
      <c r="L17" s="389"/>
      <c r="M17" s="389"/>
      <c r="N17" s="389"/>
      <c r="O17" s="389"/>
      <c r="P17" s="389"/>
      <c r="Q17" s="389"/>
      <c r="R17" s="389"/>
      <c r="S17" s="389"/>
      <c r="T17" s="389"/>
      <c r="U17" s="389"/>
      <c r="V17" s="389"/>
      <c r="W17" s="389"/>
      <c r="X17" s="389"/>
      <c r="Y17" s="389"/>
      <c r="Z17" s="389"/>
      <c r="AA17" s="389"/>
      <c r="AB17" s="389"/>
      <c r="AC17" s="389"/>
      <c r="AD17" s="389"/>
      <c r="AE17" s="389"/>
      <c r="AF17" s="389"/>
      <c r="AG17" s="389"/>
      <c r="AH17" s="389"/>
      <c r="AI17" s="389"/>
      <c r="AJ17" s="389"/>
      <c r="AK17" s="389"/>
      <c r="AM17" s="391">
        <f t="shared" si="22"/>
        <v>0</v>
      </c>
      <c r="AN17" s="391">
        <f t="shared" si="23"/>
        <v>0</v>
      </c>
    </row>
    <row r="18" spans="2:42" x14ac:dyDescent="0.2">
      <c r="B18" s="1564" t="str">
        <f>IF(Summary!I28&lt;&gt;"",Summary!I28,"")</f>
        <v>Operating Reserves</v>
      </c>
      <c r="C18" s="1565"/>
      <c r="D18" s="1566"/>
      <c r="E18" s="391">
        <f>Summary!L28</f>
        <v>0</v>
      </c>
      <c r="F18" s="390">
        <f t="shared" si="20"/>
        <v>0</v>
      </c>
      <c r="G18" s="389"/>
      <c r="H18" s="389"/>
      <c r="I18" s="389"/>
      <c r="J18" s="389"/>
      <c r="K18" s="389"/>
      <c r="L18" s="389"/>
      <c r="M18" s="389"/>
      <c r="N18" s="389"/>
      <c r="O18" s="389"/>
      <c r="P18" s="389"/>
      <c r="Q18" s="389"/>
      <c r="R18" s="389"/>
      <c r="S18" s="389"/>
      <c r="T18" s="389"/>
      <c r="U18" s="389"/>
      <c r="V18" s="389"/>
      <c r="W18" s="389"/>
      <c r="X18" s="389"/>
      <c r="Y18" s="389"/>
      <c r="Z18" s="389"/>
      <c r="AA18" s="389"/>
      <c r="AB18" s="389"/>
      <c r="AC18" s="389"/>
      <c r="AD18" s="389"/>
      <c r="AE18" s="389"/>
      <c r="AF18" s="389"/>
      <c r="AG18" s="389"/>
      <c r="AH18" s="389"/>
      <c r="AI18" s="389"/>
      <c r="AJ18" s="389"/>
      <c r="AK18" s="389"/>
      <c r="AM18" s="391">
        <f t="shared" si="22"/>
        <v>0</v>
      </c>
      <c r="AN18" s="391">
        <f t="shared" si="23"/>
        <v>0</v>
      </c>
    </row>
    <row r="19" spans="2:42" x14ac:dyDescent="0.2">
      <c r="B19" s="1564" t="str">
        <f>IF(Summary!I29&lt;&gt;"",Summary!I29,"")</f>
        <v>Debt Service Reserves</v>
      </c>
      <c r="C19" s="1565"/>
      <c r="D19" s="1566"/>
      <c r="E19" s="391">
        <f>Summary!L29</f>
        <v>0</v>
      </c>
      <c r="F19" s="390">
        <f t="shared" si="20"/>
        <v>0</v>
      </c>
      <c r="G19" s="389"/>
      <c r="H19" s="389"/>
      <c r="I19" s="389"/>
      <c r="J19" s="389"/>
      <c r="K19" s="389"/>
      <c r="L19" s="389"/>
      <c r="M19" s="389"/>
      <c r="N19" s="389"/>
      <c r="O19" s="389"/>
      <c r="P19" s="389"/>
      <c r="Q19" s="389"/>
      <c r="R19" s="389"/>
      <c r="S19" s="389"/>
      <c r="T19" s="389"/>
      <c r="U19" s="389"/>
      <c r="V19" s="389"/>
      <c r="W19" s="389"/>
      <c r="X19" s="389"/>
      <c r="Y19" s="389"/>
      <c r="Z19" s="389"/>
      <c r="AA19" s="389"/>
      <c r="AB19" s="389"/>
      <c r="AC19" s="389"/>
      <c r="AD19" s="389"/>
      <c r="AE19" s="389"/>
      <c r="AF19" s="389"/>
      <c r="AG19" s="389"/>
      <c r="AH19" s="389"/>
      <c r="AI19" s="389"/>
      <c r="AJ19" s="389"/>
      <c r="AK19" s="389"/>
      <c r="AM19" s="391">
        <f t="shared" si="22"/>
        <v>0</v>
      </c>
      <c r="AN19" s="391">
        <f t="shared" si="23"/>
        <v>0</v>
      </c>
    </row>
    <row r="20" spans="2:42" x14ac:dyDescent="0.2">
      <c r="B20" s="1564" t="str">
        <f>IF(Summary!I30&lt;&gt;"",Summary!I30,"")</f>
        <v>Replacement Reserves</v>
      </c>
      <c r="C20" s="1565"/>
      <c r="D20" s="1566"/>
      <c r="E20" s="391">
        <f>Summary!L30</f>
        <v>0</v>
      </c>
      <c r="F20" s="390">
        <f t="shared" si="20"/>
        <v>0</v>
      </c>
      <c r="G20" s="389"/>
      <c r="H20" s="389"/>
      <c r="I20" s="389"/>
      <c r="J20" s="389"/>
      <c r="K20" s="389"/>
      <c r="L20" s="389"/>
      <c r="M20" s="389"/>
      <c r="N20" s="389"/>
      <c r="O20" s="389"/>
      <c r="P20" s="389"/>
      <c r="Q20" s="389"/>
      <c r="R20" s="389"/>
      <c r="S20" s="389"/>
      <c r="T20" s="389"/>
      <c r="U20" s="389"/>
      <c r="V20" s="389"/>
      <c r="W20" s="389"/>
      <c r="X20" s="389"/>
      <c r="Y20" s="389"/>
      <c r="Z20" s="389"/>
      <c r="AA20" s="389"/>
      <c r="AB20" s="389"/>
      <c r="AC20" s="389"/>
      <c r="AD20" s="389"/>
      <c r="AE20" s="389"/>
      <c r="AF20" s="389"/>
      <c r="AG20" s="389"/>
      <c r="AH20" s="389"/>
      <c r="AI20" s="389"/>
      <c r="AJ20" s="389"/>
      <c r="AK20" s="389"/>
      <c r="AM20" s="391">
        <f t="shared" si="22"/>
        <v>0</v>
      </c>
      <c r="AN20" s="391">
        <f t="shared" si="23"/>
        <v>0</v>
      </c>
    </row>
    <row r="21" spans="2:42" x14ac:dyDescent="0.2">
      <c r="B21" s="1564" t="str">
        <f>IF(Summary!I31&lt;&gt;"",Summary!I31,"")</f>
        <v>Other Reserves</v>
      </c>
      <c r="C21" s="1565"/>
      <c r="D21" s="1566"/>
      <c r="E21" s="391">
        <f>Summary!L31</f>
        <v>0</v>
      </c>
      <c r="F21" s="390">
        <f t="shared" si="20"/>
        <v>0</v>
      </c>
      <c r="G21" s="389"/>
      <c r="H21" s="389"/>
      <c r="I21" s="389"/>
      <c r="J21" s="389"/>
      <c r="K21" s="389"/>
      <c r="L21" s="389"/>
      <c r="M21" s="389"/>
      <c r="N21" s="389"/>
      <c r="O21" s="389"/>
      <c r="P21" s="389"/>
      <c r="Q21" s="389"/>
      <c r="R21" s="389"/>
      <c r="S21" s="389"/>
      <c r="T21" s="389"/>
      <c r="U21" s="389"/>
      <c r="V21" s="389"/>
      <c r="W21" s="389"/>
      <c r="X21" s="389"/>
      <c r="Y21" s="389"/>
      <c r="Z21" s="389"/>
      <c r="AA21" s="389"/>
      <c r="AB21" s="389"/>
      <c r="AC21" s="389"/>
      <c r="AD21" s="389"/>
      <c r="AE21" s="389"/>
      <c r="AF21" s="389"/>
      <c r="AG21" s="389"/>
      <c r="AH21" s="389"/>
      <c r="AI21" s="389"/>
      <c r="AJ21" s="389"/>
      <c r="AK21" s="389"/>
      <c r="AM21" s="391">
        <f t="shared" si="22"/>
        <v>0</v>
      </c>
      <c r="AN21" s="391">
        <f t="shared" si="23"/>
        <v>0</v>
      </c>
    </row>
    <row r="22" spans="2:42" x14ac:dyDescent="0.2">
      <c r="B22" s="1571" t="s">
        <v>643</v>
      </c>
      <c r="C22" s="1572"/>
      <c r="D22" s="1573"/>
      <c r="E22" s="392">
        <f t="shared" ref="E22:U22" si="25">SUM(E8:E21)</f>
        <v>0</v>
      </c>
      <c r="F22" s="393">
        <f t="shared" si="25"/>
        <v>0</v>
      </c>
      <c r="G22" s="392">
        <f t="shared" si="25"/>
        <v>0</v>
      </c>
      <c r="H22" s="392">
        <f t="shared" si="25"/>
        <v>0</v>
      </c>
      <c r="I22" s="392">
        <f t="shared" si="25"/>
        <v>0</v>
      </c>
      <c r="J22" s="392">
        <f t="shared" si="25"/>
        <v>0</v>
      </c>
      <c r="K22" s="392">
        <f t="shared" si="25"/>
        <v>0</v>
      </c>
      <c r="L22" s="392">
        <f t="shared" si="25"/>
        <v>0</v>
      </c>
      <c r="M22" s="392">
        <f t="shared" si="25"/>
        <v>0</v>
      </c>
      <c r="N22" s="392">
        <f t="shared" si="25"/>
        <v>0</v>
      </c>
      <c r="O22" s="392">
        <f t="shared" si="25"/>
        <v>0</v>
      </c>
      <c r="P22" s="392">
        <f t="shared" si="25"/>
        <v>0</v>
      </c>
      <c r="Q22" s="392">
        <f t="shared" si="25"/>
        <v>0</v>
      </c>
      <c r="R22" s="392">
        <f t="shared" si="25"/>
        <v>0</v>
      </c>
      <c r="S22" s="392">
        <f t="shared" si="25"/>
        <v>0</v>
      </c>
      <c r="T22" s="392">
        <f t="shared" si="25"/>
        <v>0</v>
      </c>
      <c r="U22" s="392">
        <f t="shared" si="25"/>
        <v>0</v>
      </c>
      <c r="V22" s="392">
        <f t="shared" ref="V22:AK22" si="26">SUM(V8:V21)</f>
        <v>0</v>
      </c>
      <c r="W22" s="392">
        <f t="shared" si="26"/>
        <v>0</v>
      </c>
      <c r="X22" s="392">
        <f t="shared" si="26"/>
        <v>0</v>
      </c>
      <c r="Y22" s="392">
        <f t="shared" si="26"/>
        <v>0</v>
      </c>
      <c r="Z22" s="392">
        <f t="shared" si="26"/>
        <v>0</v>
      </c>
      <c r="AA22" s="392">
        <f t="shared" si="26"/>
        <v>0</v>
      </c>
      <c r="AB22" s="392">
        <f t="shared" si="26"/>
        <v>0</v>
      </c>
      <c r="AC22" s="392">
        <f t="shared" si="26"/>
        <v>0</v>
      </c>
      <c r="AD22" s="392">
        <f t="shared" si="26"/>
        <v>0</v>
      </c>
      <c r="AE22" s="392">
        <f t="shared" si="26"/>
        <v>0</v>
      </c>
      <c r="AF22" s="392">
        <f t="shared" si="26"/>
        <v>0</v>
      </c>
      <c r="AG22" s="392">
        <f t="shared" si="26"/>
        <v>0</v>
      </c>
      <c r="AH22" s="392">
        <f t="shared" si="26"/>
        <v>0</v>
      </c>
      <c r="AI22" s="392">
        <f t="shared" si="26"/>
        <v>0</v>
      </c>
      <c r="AJ22" s="392">
        <f t="shared" si="26"/>
        <v>0</v>
      </c>
      <c r="AK22" s="392">
        <f t="shared" si="26"/>
        <v>0</v>
      </c>
      <c r="AM22" s="392">
        <f>SUM(AM8:AM21)</f>
        <v>0</v>
      </c>
      <c r="AN22" s="394">
        <f t="shared" ref="AN22" si="27">SUM(G22:S22)+AM22</f>
        <v>0</v>
      </c>
    </row>
    <row r="23" spans="2:42" x14ac:dyDescent="0.2">
      <c r="F23" s="395"/>
    </row>
    <row r="24" spans="2:42" x14ac:dyDescent="0.2">
      <c r="B24" s="1564" t="s">
        <v>551</v>
      </c>
      <c r="C24" s="1565"/>
      <c r="D24" s="1566"/>
      <c r="E24" s="391">
        <f>'Dev Costs'!H46</f>
        <v>0</v>
      </c>
      <c r="F24" s="390">
        <f>SUM(G24:AK24)-E24</f>
        <v>0</v>
      </c>
      <c r="G24" s="391">
        <v>0</v>
      </c>
      <c r="H24" s="391">
        <f t="shared" ref="H24:U24" si="28">G62*$D$53/12</f>
        <v>0</v>
      </c>
      <c r="I24" s="391">
        <f t="shared" si="28"/>
        <v>0</v>
      </c>
      <c r="J24" s="391">
        <f t="shared" si="28"/>
        <v>0</v>
      </c>
      <c r="K24" s="391">
        <f t="shared" si="28"/>
        <v>0</v>
      </c>
      <c r="L24" s="391">
        <f t="shared" si="28"/>
        <v>0</v>
      </c>
      <c r="M24" s="391">
        <f t="shared" si="28"/>
        <v>0</v>
      </c>
      <c r="N24" s="391">
        <f t="shared" si="28"/>
        <v>0</v>
      </c>
      <c r="O24" s="391">
        <f t="shared" si="28"/>
        <v>0</v>
      </c>
      <c r="P24" s="391">
        <f t="shared" si="28"/>
        <v>0</v>
      </c>
      <c r="Q24" s="391">
        <f t="shared" si="28"/>
        <v>0</v>
      </c>
      <c r="R24" s="391">
        <f t="shared" si="28"/>
        <v>0</v>
      </c>
      <c r="S24" s="391">
        <f t="shared" si="28"/>
        <v>0</v>
      </c>
      <c r="T24" s="391">
        <f t="shared" si="28"/>
        <v>0</v>
      </c>
      <c r="U24" s="391">
        <f t="shared" si="28"/>
        <v>0</v>
      </c>
      <c r="V24" s="391">
        <f t="shared" ref="V24" si="29">U62*$D$53/12</f>
        <v>0</v>
      </c>
      <c r="W24" s="391">
        <f t="shared" ref="W24" si="30">V62*$D$53/12</f>
        <v>0</v>
      </c>
      <c r="X24" s="391">
        <f t="shared" ref="X24" si="31">W62*$D$53/12</f>
        <v>0</v>
      </c>
      <c r="Y24" s="391">
        <f t="shared" ref="Y24" si="32">X62*$D$53/12</f>
        <v>0</v>
      </c>
      <c r="Z24" s="391">
        <f t="shared" ref="Z24" si="33">Y62*$D$53/12</f>
        <v>0</v>
      </c>
      <c r="AA24" s="391">
        <f t="shared" ref="AA24" si="34">Z62*$D$53/12</f>
        <v>0</v>
      </c>
      <c r="AB24" s="391">
        <f t="shared" ref="AB24" si="35">AA62*$D$53/12</f>
        <v>0</v>
      </c>
      <c r="AC24" s="391">
        <f t="shared" ref="AC24" si="36">AB62*$D$53/12</f>
        <v>0</v>
      </c>
      <c r="AD24" s="391">
        <f t="shared" ref="AD24" si="37">AC62*$D$53/12</f>
        <v>0</v>
      </c>
      <c r="AE24" s="391">
        <f t="shared" ref="AE24" si="38">AD62*$D$53/12</f>
        <v>0</v>
      </c>
      <c r="AF24" s="391">
        <f t="shared" ref="AF24" si="39">AE62*$D$53/12</f>
        <v>0</v>
      </c>
      <c r="AG24" s="391">
        <f t="shared" ref="AG24" si="40">AF62*$D$53/12</f>
        <v>0</v>
      </c>
      <c r="AH24" s="391">
        <f t="shared" ref="AH24" si="41">AG62*$D$53/12</f>
        <v>0</v>
      </c>
      <c r="AI24" s="391">
        <f t="shared" ref="AI24" si="42">AH62*$D$53/12</f>
        <v>0</v>
      </c>
      <c r="AJ24" s="391">
        <f t="shared" ref="AJ24" si="43">AI62*$D$53/12</f>
        <v>0</v>
      </c>
      <c r="AK24" s="391">
        <f t="shared" ref="AK24" si="44">AJ62*$D$53/12</f>
        <v>0</v>
      </c>
      <c r="AM24" s="391">
        <f>SUM(T24:AK24)</f>
        <v>0</v>
      </c>
      <c r="AN24" s="391">
        <f t="shared" ref="AN24:AN26" si="45">SUM(G24:S24)+AM24</f>
        <v>0</v>
      </c>
    </row>
    <row r="25" spans="2:42" x14ac:dyDescent="0.2">
      <c r="B25" s="1564" t="s">
        <v>589</v>
      </c>
      <c r="C25" s="1565"/>
      <c r="D25" s="1566"/>
      <c r="E25" s="391">
        <f>'Dev Costs'!H56</f>
        <v>0</v>
      </c>
      <c r="F25" s="390">
        <f t="shared" ref="F25" si="46">SUM(G25:AK25)-E25</f>
        <v>0</v>
      </c>
      <c r="G25" s="391">
        <v>0</v>
      </c>
      <c r="H25" s="391">
        <f t="shared" ref="H25:U25" si="47">G75*$D$66/12</f>
        <v>0</v>
      </c>
      <c r="I25" s="391">
        <f t="shared" si="47"/>
        <v>0</v>
      </c>
      <c r="J25" s="391">
        <f t="shared" si="47"/>
        <v>0</v>
      </c>
      <c r="K25" s="391">
        <f t="shared" si="47"/>
        <v>0</v>
      </c>
      <c r="L25" s="391">
        <f t="shared" si="47"/>
        <v>0</v>
      </c>
      <c r="M25" s="391">
        <f t="shared" si="47"/>
        <v>0</v>
      </c>
      <c r="N25" s="391">
        <f t="shared" si="47"/>
        <v>0</v>
      </c>
      <c r="O25" s="391">
        <f t="shared" si="47"/>
        <v>0</v>
      </c>
      <c r="P25" s="391">
        <f t="shared" si="47"/>
        <v>0</v>
      </c>
      <c r="Q25" s="391">
        <f t="shared" si="47"/>
        <v>0</v>
      </c>
      <c r="R25" s="391">
        <f t="shared" si="47"/>
        <v>0</v>
      </c>
      <c r="S25" s="391">
        <f t="shared" si="47"/>
        <v>0</v>
      </c>
      <c r="T25" s="391">
        <f t="shared" si="47"/>
        <v>0</v>
      </c>
      <c r="U25" s="391">
        <f t="shared" si="47"/>
        <v>0</v>
      </c>
      <c r="V25" s="391">
        <f t="shared" ref="V25" si="48">U75*$D$66/12</f>
        <v>0</v>
      </c>
      <c r="W25" s="391">
        <f t="shared" ref="W25" si="49">V75*$D$66/12</f>
        <v>0</v>
      </c>
      <c r="X25" s="391">
        <f t="shared" ref="X25" si="50">W75*$D$66/12</f>
        <v>0</v>
      </c>
      <c r="Y25" s="391">
        <f t="shared" ref="Y25" si="51">X75*$D$66/12</f>
        <v>0</v>
      </c>
      <c r="Z25" s="391">
        <f t="shared" ref="Z25" si="52">Y75*$D$66/12</f>
        <v>0</v>
      </c>
      <c r="AA25" s="391">
        <f t="shared" ref="AA25" si="53">Z75*$D$66/12</f>
        <v>0</v>
      </c>
      <c r="AB25" s="391">
        <f t="shared" ref="AB25" si="54">AA75*$D$66/12</f>
        <v>0</v>
      </c>
      <c r="AC25" s="391">
        <f t="shared" ref="AC25" si="55">AB75*$D$66/12</f>
        <v>0</v>
      </c>
      <c r="AD25" s="391">
        <f t="shared" ref="AD25" si="56">AC75*$D$66/12</f>
        <v>0</v>
      </c>
      <c r="AE25" s="391">
        <f t="shared" ref="AE25" si="57">AD75*$D$66/12</f>
        <v>0</v>
      </c>
      <c r="AF25" s="391">
        <f t="shared" ref="AF25" si="58">AE75*$D$66/12</f>
        <v>0</v>
      </c>
      <c r="AG25" s="391">
        <f t="shared" ref="AG25" si="59">AF75*$D$66/12</f>
        <v>0</v>
      </c>
      <c r="AH25" s="391">
        <f t="shared" ref="AH25" si="60">AG75*$D$66/12</f>
        <v>0</v>
      </c>
      <c r="AI25" s="391">
        <f t="shared" ref="AI25" si="61">AH75*$D$66/12</f>
        <v>0</v>
      </c>
      <c r="AJ25" s="391">
        <f t="shared" ref="AJ25" si="62">AI75*$D$66/12</f>
        <v>0</v>
      </c>
      <c r="AK25" s="391">
        <f t="shared" ref="AK25" si="63">AJ75*$D$66/12</f>
        <v>0</v>
      </c>
      <c r="AM25" s="391">
        <f>SUM(T25:AK25)</f>
        <v>0</v>
      </c>
      <c r="AN25" s="391">
        <f t="shared" si="45"/>
        <v>0</v>
      </c>
    </row>
    <row r="26" spans="2:42" x14ac:dyDescent="0.2">
      <c r="B26" s="1575" t="s">
        <v>39</v>
      </c>
      <c r="C26" s="1576"/>
      <c r="D26" s="1577"/>
      <c r="E26" s="408">
        <f>E22+E24+E25</f>
        <v>0</v>
      </c>
      <c r="F26" s="393">
        <f>SUM(F22:F25)</f>
        <v>0</v>
      </c>
      <c r="G26" s="392">
        <f>SUM(G22:G25)</f>
        <v>0</v>
      </c>
      <c r="H26" s="392">
        <f t="shared" ref="H26:U26" si="64">SUM(H22:H25)</f>
        <v>0</v>
      </c>
      <c r="I26" s="392">
        <f t="shared" si="64"/>
        <v>0</v>
      </c>
      <c r="J26" s="392">
        <f t="shared" si="64"/>
        <v>0</v>
      </c>
      <c r="K26" s="392">
        <f t="shared" si="64"/>
        <v>0</v>
      </c>
      <c r="L26" s="392">
        <f t="shared" si="64"/>
        <v>0</v>
      </c>
      <c r="M26" s="392">
        <f t="shared" si="64"/>
        <v>0</v>
      </c>
      <c r="N26" s="392">
        <f t="shared" si="64"/>
        <v>0</v>
      </c>
      <c r="O26" s="392">
        <f t="shared" si="64"/>
        <v>0</v>
      </c>
      <c r="P26" s="392">
        <f t="shared" si="64"/>
        <v>0</v>
      </c>
      <c r="Q26" s="392">
        <f t="shared" si="64"/>
        <v>0</v>
      </c>
      <c r="R26" s="392">
        <f t="shared" si="64"/>
        <v>0</v>
      </c>
      <c r="S26" s="392">
        <f t="shared" si="64"/>
        <v>0</v>
      </c>
      <c r="T26" s="392">
        <f t="shared" si="64"/>
        <v>0</v>
      </c>
      <c r="U26" s="392">
        <f t="shared" si="64"/>
        <v>0</v>
      </c>
      <c r="V26" s="392">
        <f t="shared" ref="V26:AK26" si="65">SUM(V22:V25)</f>
        <v>0</v>
      </c>
      <c r="W26" s="392">
        <f t="shared" si="65"/>
        <v>0</v>
      </c>
      <c r="X26" s="392">
        <f t="shared" si="65"/>
        <v>0</v>
      </c>
      <c r="Y26" s="392">
        <f t="shared" si="65"/>
        <v>0</v>
      </c>
      <c r="Z26" s="392">
        <f t="shared" si="65"/>
        <v>0</v>
      </c>
      <c r="AA26" s="392">
        <f t="shared" si="65"/>
        <v>0</v>
      </c>
      <c r="AB26" s="392">
        <f t="shared" si="65"/>
        <v>0</v>
      </c>
      <c r="AC26" s="392">
        <f t="shared" si="65"/>
        <v>0</v>
      </c>
      <c r="AD26" s="392">
        <f t="shared" si="65"/>
        <v>0</v>
      </c>
      <c r="AE26" s="392">
        <f t="shared" si="65"/>
        <v>0</v>
      </c>
      <c r="AF26" s="392">
        <f t="shared" si="65"/>
        <v>0</v>
      </c>
      <c r="AG26" s="392">
        <f t="shared" si="65"/>
        <v>0</v>
      </c>
      <c r="AH26" s="392">
        <f t="shared" si="65"/>
        <v>0</v>
      </c>
      <c r="AI26" s="392">
        <f t="shared" si="65"/>
        <v>0</v>
      </c>
      <c r="AJ26" s="392">
        <f t="shared" si="65"/>
        <v>0</v>
      </c>
      <c r="AK26" s="392">
        <f t="shared" si="65"/>
        <v>0</v>
      </c>
      <c r="AM26" s="392">
        <f>AM22+AM25+AM24</f>
        <v>0</v>
      </c>
      <c r="AN26" s="394">
        <f t="shared" si="45"/>
        <v>0</v>
      </c>
      <c r="AP26" s="396"/>
    </row>
    <row r="27" spans="2:42" x14ac:dyDescent="0.2">
      <c r="B27" s="420" t="s">
        <v>705</v>
      </c>
      <c r="C27" s="421"/>
      <c r="D27" s="422"/>
      <c r="E27" s="577" t="str">
        <f>IF(E26-'Dev Costs'!$H$76&lt;&gt;0,"Error","OK")</f>
        <v>OK</v>
      </c>
      <c r="F27" s="407"/>
      <c r="G27" s="406"/>
      <c r="H27" s="406"/>
      <c r="I27" s="406"/>
      <c r="J27" s="406"/>
      <c r="K27" s="406"/>
      <c r="L27" s="406"/>
      <c r="M27" s="406"/>
      <c r="N27" s="406"/>
      <c r="O27" s="406"/>
      <c r="P27" s="406"/>
      <c r="Q27" s="406"/>
      <c r="R27" s="406"/>
      <c r="S27" s="406"/>
      <c r="T27" s="406"/>
      <c r="U27" s="406"/>
      <c r="V27" s="406"/>
      <c r="W27" s="406"/>
      <c r="X27" s="406"/>
      <c r="Y27" s="406"/>
      <c r="Z27" s="406"/>
      <c r="AA27" s="406"/>
      <c r="AB27" s="406"/>
      <c r="AC27" s="406"/>
      <c r="AD27" s="406"/>
      <c r="AE27" s="406"/>
      <c r="AF27" s="406"/>
      <c r="AG27" s="406"/>
      <c r="AH27" s="406"/>
      <c r="AI27" s="406"/>
      <c r="AJ27" s="406"/>
      <c r="AK27" s="406"/>
      <c r="AM27" s="406"/>
      <c r="AN27" s="406"/>
      <c r="AP27" s="396"/>
    </row>
    <row r="28" spans="2:42" x14ac:dyDescent="0.2">
      <c r="B28" s="409" t="s">
        <v>657</v>
      </c>
      <c r="C28" s="409"/>
      <c r="D28" s="409"/>
      <c r="E28" s="410" t="e">
        <f>-F26/(AN74*D66/12+AN61*D53/12)</f>
        <v>#DIV/0!</v>
      </c>
      <c r="F28" s="407"/>
      <c r="G28" s="406"/>
      <c r="H28" s="406"/>
      <c r="I28" s="406"/>
      <c r="J28" s="406"/>
      <c r="K28" s="406"/>
      <c r="L28" s="406"/>
      <c r="M28" s="406"/>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6"/>
      <c r="AM28" s="406"/>
      <c r="AN28" s="406"/>
      <c r="AP28" s="396"/>
    </row>
    <row r="29" spans="2:42" x14ac:dyDescent="0.2">
      <c r="E29" s="396"/>
      <c r="F29" s="396"/>
      <c r="AN29" s="396"/>
    </row>
    <row r="30" spans="2:42" ht="38.25" x14ac:dyDescent="0.2">
      <c r="B30" s="1578" t="s">
        <v>644</v>
      </c>
      <c r="C30" s="1579"/>
      <c r="D30" s="1580"/>
      <c r="E30" s="382" t="s">
        <v>611</v>
      </c>
      <c r="F30" s="382" t="s">
        <v>640</v>
      </c>
      <c r="G30" s="382" t="s">
        <v>612</v>
      </c>
      <c r="H30" s="382" t="s">
        <v>613</v>
      </c>
      <c r="I30" s="382" t="s">
        <v>614</v>
      </c>
      <c r="J30" s="382" t="s">
        <v>615</v>
      </c>
      <c r="K30" s="382" t="s">
        <v>616</v>
      </c>
      <c r="L30" s="382" t="s">
        <v>617</v>
      </c>
      <c r="M30" s="382" t="s">
        <v>618</v>
      </c>
      <c r="N30" s="382" t="s">
        <v>619</v>
      </c>
      <c r="O30" s="382" t="s">
        <v>620</v>
      </c>
      <c r="P30" s="382" t="s">
        <v>621</v>
      </c>
      <c r="Q30" s="382" t="s">
        <v>622</v>
      </c>
      <c r="R30" s="382" t="s">
        <v>623</v>
      </c>
      <c r="S30" s="382" t="s">
        <v>624</v>
      </c>
      <c r="T30" s="382" t="s">
        <v>625</v>
      </c>
      <c r="U30" s="382" t="s">
        <v>626</v>
      </c>
      <c r="V30" s="382" t="s">
        <v>627</v>
      </c>
      <c r="W30" s="382" t="s">
        <v>628</v>
      </c>
      <c r="X30" s="382" t="s">
        <v>629</v>
      </c>
      <c r="Y30" s="382" t="s">
        <v>630</v>
      </c>
      <c r="Z30" s="382" t="s">
        <v>631</v>
      </c>
      <c r="AA30" s="382" t="s">
        <v>632</v>
      </c>
      <c r="AB30" s="382" t="s">
        <v>633</v>
      </c>
      <c r="AC30" s="382" t="s">
        <v>634</v>
      </c>
      <c r="AD30" s="382" t="s">
        <v>635</v>
      </c>
      <c r="AE30" s="382" t="s">
        <v>1027</v>
      </c>
      <c r="AF30" s="382" t="s">
        <v>1028</v>
      </c>
      <c r="AG30" s="382" t="s">
        <v>1029</v>
      </c>
      <c r="AH30" s="382" t="s">
        <v>1030</v>
      </c>
      <c r="AI30" s="382" t="s">
        <v>1031</v>
      </c>
      <c r="AJ30" s="382" t="s">
        <v>1032</v>
      </c>
      <c r="AK30" s="382" t="s">
        <v>1033</v>
      </c>
      <c r="AM30" s="382" t="s">
        <v>637</v>
      </c>
      <c r="AN30" s="382" t="s">
        <v>36</v>
      </c>
    </row>
    <row r="31" spans="2:42" x14ac:dyDescent="0.2">
      <c r="B31" s="1564" t="str">
        <f>IF('Sources &amp; Loan Sizing'!B12&lt;&gt;"",'Sources &amp; Loan Sizing'!B12,"")</f>
        <v/>
      </c>
      <c r="C31" s="1565"/>
      <c r="D31" s="1566"/>
      <c r="E31" s="390">
        <f>'Sources &amp; Loan Sizing'!F12</f>
        <v>0</v>
      </c>
      <c r="F31" s="390">
        <f t="shared" ref="F31:F47" si="66">SUM(G31:AK31)-E31</f>
        <v>0</v>
      </c>
      <c r="G31" s="389"/>
      <c r="H31" s="389"/>
      <c r="I31" s="389"/>
      <c r="J31" s="389"/>
      <c r="K31" s="389"/>
      <c r="L31" s="389"/>
      <c r="M31" s="389"/>
      <c r="N31" s="389"/>
      <c r="O31" s="389"/>
      <c r="P31" s="389"/>
      <c r="Q31" s="389"/>
      <c r="R31" s="389"/>
      <c r="S31" s="389"/>
      <c r="T31" s="389"/>
      <c r="U31" s="389"/>
      <c r="V31" s="389"/>
      <c r="W31" s="389"/>
      <c r="X31" s="389"/>
      <c r="Y31" s="389"/>
      <c r="Z31" s="389"/>
      <c r="AA31" s="389"/>
      <c r="AB31" s="389"/>
      <c r="AC31" s="389"/>
      <c r="AD31" s="389"/>
      <c r="AE31" s="389"/>
      <c r="AF31" s="389"/>
      <c r="AG31" s="389"/>
      <c r="AH31" s="389"/>
      <c r="AI31" s="389"/>
      <c r="AJ31" s="389"/>
      <c r="AK31" s="389"/>
      <c r="AM31" s="391">
        <f t="shared" ref="AM31" si="67">SUM(T31:AK31)</f>
        <v>0</v>
      </c>
      <c r="AN31" s="391">
        <f t="shared" ref="AN31:AN48" si="68">SUM(G31:S31)+AM31</f>
        <v>0</v>
      </c>
    </row>
    <row r="32" spans="2:42" x14ac:dyDescent="0.2">
      <c r="B32" s="1564" t="str">
        <f>IF('Sources &amp; Loan Sizing'!B13&lt;&gt;"",'Sources &amp; Loan Sizing'!B13,"")</f>
        <v/>
      </c>
      <c r="C32" s="1565"/>
      <c r="D32" s="1566"/>
      <c r="E32" s="390">
        <f>'Sources &amp; Loan Sizing'!F13</f>
        <v>0</v>
      </c>
      <c r="F32" s="390">
        <f t="shared" si="66"/>
        <v>0</v>
      </c>
      <c r="G32" s="389"/>
      <c r="H32" s="389"/>
      <c r="I32" s="389"/>
      <c r="J32" s="389"/>
      <c r="K32" s="389"/>
      <c r="L32" s="389"/>
      <c r="M32" s="389"/>
      <c r="N32" s="389"/>
      <c r="O32" s="389"/>
      <c r="P32" s="389"/>
      <c r="Q32" s="389"/>
      <c r="R32" s="389"/>
      <c r="S32" s="389"/>
      <c r="T32" s="389"/>
      <c r="U32" s="389"/>
      <c r="V32" s="389"/>
      <c r="W32" s="389"/>
      <c r="X32" s="389"/>
      <c r="Y32" s="389"/>
      <c r="Z32" s="389"/>
      <c r="AA32" s="389"/>
      <c r="AB32" s="389"/>
      <c r="AC32" s="389"/>
      <c r="AD32" s="389"/>
      <c r="AE32" s="389"/>
      <c r="AF32" s="389"/>
      <c r="AG32" s="389"/>
      <c r="AH32" s="389"/>
      <c r="AI32" s="389"/>
      <c r="AJ32" s="389"/>
      <c r="AK32" s="389"/>
      <c r="AM32" s="391">
        <f t="shared" ref="AM32:AM47" si="69">SUM(T32:AK32)</f>
        <v>0</v>
      </c>
      <c r="AN32" s="391">
        <f t="shared" ref="AN32:AN47" si="70">SUM(G32:S32)+AM32</f>
        <v>0</v>
      </c>
    </row>
    <row r="33" spans="2:40" x14ac:dyDescent="0.2">
      <c r="B33" s="1564" t="str">
        <f>IF('Sources &amp; Loan Sizing'!B14&lt;&gt;"",'Sources &amp; Loan Sizing'!B14,"")</f>
        <v/>
      </c>
      <c r="C33" s="1565"/>
      <c r="D33" s="1566"/>
      <c r="E33" s="390">
        <f>'Sources &amp; Loan Sizing'!F14</f>
        <v>0</v>
      </c>
      <c r="F33" s="390">
        <f t="shared" si="66"/>
        <v>0</v>
      </c>
      <c r="G33" s="389"/>
      <c r="H33" s="389"/>
      <c r="I33" s="389"/>
      <c r="J33" s="389"/>
      <c r="K33" s="389"/>
      <c r="L33" s="389"/>
      <c r="M33" s="389"/>
      <c r="N33" s="389"/>
      <c r="O33" s="389"/>
      <c r="P33" s="389"/>
      <c r="Q33" s="389"/>
      <c r="R33" s="389"/>
      <c r="S33" s="389"/>
      <c r="T33" s="389"/>
      <c r="U33" s="389"/>
      <c r="V33" s="389"/>
      <c r="W33" s="389"/>
      <c r="X33" s="389"/>
      <c r="Y33" s="389"/>
      <c r="Z33" s="389"/>
      <c r="AA33" s="389"/>
      <c r="AB33" s="389"/>
      <c r="AC33" s="389"/>
      <c r="AD33" s="389"/>
      <c r="AE33" s="389"/>
      <c r="AF33" s="389"/>
      <c r="AG33" s="389"/>
      <c r="AH33" s="389"/>
      <c r="AI33" s="389"/>
      <c r="AJ33" s="389"/>
      <c r="AK33" s="389"/>
      <c r="AM33" s="391">
        <f t="shared" si="69"/>
        <v>0</v>
      </c>
      <c r="AN33" s="391">
        <f t="shared" si="70"/>
        <v>0</v>
      </c>
    </row>
    <row r="34" spans="2:40" x14ac:dyDescent="0.2">
      <c r="B34" s="1564" t="str">
        <f>IF('Sources &amp; Loan Sizing'!B15&lt;&gt;"",'Sources &amp; Loan Sizing'!B15,"")</f>
        <v/>
      </c>
      <c r="C34" s="1565"/>
      <c r="D34" s="1566"/>
      <c r="E34" s="390">
        <f>'Sources &amp; Loan Sizing'!F15</f>
        <v>0</v>
      </c>
      <c r="F34" s="390">
        <f t="shared" si="66"/>
        <v>0</v>
      </c>
      <c r="G34" s="389"/>
      <c r="H34" s="389"/>
      <c r="I34" s="389"/>
      <c r="J34" s="389"/>
      <c r="K34" s="389"/>
      <c r="L34" s="389"/>
      <c r="M34" s="389"/>
      <c r="N34" s="389"/>
      <c r="O34" s="389"/>
      <c r="P34" s="389"/>
      <c r="Q34" s="389"/>
      <c r="R34" s="389"/>
      <c r="S34" s="389"/>
      <c r="T34" s="389"/>
      <c r="U34" s="389"/>
      <c r="V34" s="389"/>
      <c r="W34" s="389"/>
      <c r="X34" s="389"/>
      <c r="Y34" s="389"/>
      <c r="Z34" s="389"/>
      <c r="AA34" s="389"/>
      <c r="AB34" s="389"/>
      <c r="AC34" s="389"/>
      <c r="AD34" s="389"/>
      <c r="AE34" s="389"/>
      <c r="AF34" s="389"/>
      <c r="AG34" s="389"/>
      <c r="AH34" s="389"/>
      <c r="AI34" s="389"/>
      <c r="AJ34" s="389"/>
      <c r="AK34" s="389"/>
      <c r="AM34" s="391">
        <f t="shared" si="69"/>
        <v>0</v>
      </c>
      <c r="AN34" s="391">
        <f t="shared" si="70"/>
        <v>0</v>
      </c>
    </row>
    <row r="35" spans="2:40" x14ac:dyDescent="0.2">
      <c r="B35" s="1564" t="str">
        <f>IF('Sources &amp; Loan Sizing'!B16&lt;&gt;"",'Sources &amp; Loan Sizing'!B16,"")</f>
        <v/>
      </c>
      <c r="C35" s="1565"/>
      <c r="D35" s="1566"/>
      <c r="E35" s="390">
        <f>'Sources &amp; Loan Sizing'!F16</f>
        <v>0</v>
      </c>
      <c r="F35" s="390">
        <f t="shared" si="66"/>
        <v>0</v>
      </c>
      <c r="G35" s="389"/>
      <c r="H35" s="389"/>
      <c r="I35" s="389"/>
      <c r="J35" s="389"/>
      <c r="K35" s="389"/>
      <c r="L35" s="389"/>
      <c r="M35" s="389"/>
      <c r="N35" s="389"/>
      <c r="O35" s="389"/>
      <c r="P35" s="389"/>
      <c r="Q35" s="389"/>
      <c r="R35" s="389"/>
      <c r="S35" s="389"/>
      <c r="T35" s="389"/>
      <c r="U35" s="389"/>
      <c r="V35" s="389"/>
      <c r="W35" s="389"/>
      <c r="X35" s="389"/>
      <c r="Y35" s="389"/>
      <c r="Z35" s="389"/>
      <c r="AA35" s="389"/>
      <c r="AB35" s="389"/>
      <c r="AC35" s="389"/>
      <c r="AD35" s="389"/>
      <c r="AE35" s="389"/>
      <c r="AF35" s="389"/>
      <c r="AG35" s="389"/>
      <c r="AH35" s="389"/>
      <c r="AI35" s="389"/>
      <c r="AJ35" s="389"/>
      <c r="AK35" s="389"/>
      <c r="AM35" s="391">
        <f t="shared" si="69"/>
        <v>0</v>
      </c>
      <c r="AN35" s="391">
        <f t="shared" si="70"/>
        <v>0</v>
      </c>
    </row>
    <row r="36" spans="2:40" x14ac:dyDescent="0.2">
      <c r="B36" s="1564" t="str">
        <f>IF('Sources &amp; Loan Sizing'!B17&lt;&gt;"",'Sources &amp; Loan Sizing'!B17,"")</f>
        <v/>
      </c>
      <c r="C36" s="1565"/>
      <c r="D36" s="1566"/>
      <c r="E36" s="390">
        <f>'Sources &amp; Loan Sizing'!F17</f>
        <v>0</v>
      </c>
      <c r="F36" s="390">
        <f t="shared" si="66"/>
        <v>0</v>
      </c>
      <c r="G36" s="389"/>
      <c r="H36" s="389"/>
      <c r="I36" s="389"/>
      <c r="J36" s="389"/>
      <c r="K36" s="389"/>
      <c r="L36" s="389"/>
      <c r="M36" s="389"/>
      <c r="N36" s="389"/>
      <c r="O36" s="389"/>
      <c r="P36" s="389"/>
      <c r="Q36" s="389"/>
      <c r="R36" s="389"/>
      <c r="S36" s="389"/>
      <c r="T36" s="389"/>
      <c r="U36" s="389"/>
      <c r="V36" s="389"/>
      <c r="W36" s="389"/>
      <c r="X36" s="389"/>
      <c r="Y36" s="389"/>
      <c r="Z36" s="389"/>
      <c r="AA36" s="389"/>
      <c r="AB36" s="389"/>
      <c r="AC36" s="389"/>
      <c r="AD36" s="389"/>
      <c r="AE36" s="389"/>
      <c r="AF36" s="389"/>
      <c r="AG36" s="389"/>
      <c r="AH36" s="389"/>
      <c r="AI36" s="389"/>
      <c r="AJ36" s="389"/>
      <c r="AK36" s="389"/>
      <c r="AM36" s="391">
        <f t="shared" si="69"/>
        <v>0</v>
      </c>
      <c r="AN36" s="391">
        <f t="shared" si="70"/>
        <v>0</v>
      </c>
    </row>
    <row r="37" spans="2:40" x14ac:dyDescent="0.2">
      <c r="B37" s="1564" t="str">
        <f>IF('Sources &amp; Loan Sizing'!B18&lt;&gt;"",'Sources &amp; Loan Sizing'!B18,"")</f>
        <v/>
      </c>
      <c r="C37" s="1565"/>
      <c r="D37" s="1566"/>
      <c r="E37" s="390">
        <f>'Sources &amp; Loan Sizing'!F18</f>
        <v>0</v>
      </c>
      <c r="F37" s="390">
        <f t="shared" si="66"/>
        <v>0</v>
      </c>
      <c r="G37" s="389"/>
      <c r="H37" s="389"/>
      <c r="I37" s="389"/>
      <c r="J37" s="389"/>
      <c r="K37" s="389"/>
      <c r="L37" s="389"/>
      <c r="M37" s="389"/>
      <c r="N37" s="389"/>
      <c r="O37" s="389"/>
      <c r="P37" s="389"/>
      <c r="Q37" s="389"/>
      <c r="R37" s="389"/>
      <c r="S37" s="389"/>
      <c r="T37" s="389"/>
      <c r="U37" s="389"/>
      <c r="V37" s="389"/>
      <c r="W37" s="389"/>
      <c r="X37" s="389"/>
      <c r="Y37" s="389"/>
      <c r="Z37" s="389"/>
      <c r="AA37" s="389"/>
      <c r="AB37" s="389"/>
      <c r="AC37" s="389"/>
      <c r="AD37" s="389"/>
      <c r="AE37" s="389"/>
      <c r="AF37" s="389"/>
      <c r="AG37" s="389"/>
      <c r="AH37" s="389"/>
      <c r="AI37" s="389"/>
      <c r="AJ37" s="389"/>
      <c r="AK37" s="389"/>
      <c r="AM37" s="391">
        <f t="shared" si="69"/>
        <v>0</v>
      </c>
      <c r="AN37" s="391">
        <f t="shared" si="70"/>
        <v>0</v>
      </c>
    </row>
    <row r="38" spans="2:40" x14ac:dyDescent="0.2">
      <c r="B38" s="1564" t="str">
        <f>IF('Sources &amp; Loan Sizing'!B19&lt;&gt;"",'Sources &amp; Loan Sizing'!B19,"")</f>
        <v/>
      </c>
      <c r="C38" s="1565"/>
      <c r="D38" s="1566"/>
      <c r="E38" s="390">
        <f>'Sources &amp; Loan Sizing'!F19</f>
        <v>0</v>
      </c>
      <c r="F38" s="390">
        <f t="shared" si="66"/>
        <v>0</v>
      </c>
      <c r="G38" s="389"/>
      <c r="H38" s="389"/>
      <c r="I38" s="389"/>
      <c r="J38" s="389"/>
      <c r="K38" s="389"/>
      <c r="L38" s="389"/>
      <c r="M38" s="389"/>
      <c r="N38" s="389"/>
      <c r="O38" s="389"/>
      <c r="P38" s="389"/>
      <c r="Q38" s="389"/>
      <c r="R38" s="389"/>
      <c r="S38" s="389"/>
      <c r="T38" s="389"/>
      <c r="U38" s="389"/>
      <c r="V38" s="389"/>
      <c r="W38" s="389"/>
      <c r="X38" s="389"/>
      <c r="Y38" s="389"/>
      <c r="Z38" s="389"/>
      <c r="AA38" s="389"/>
      <c r="AB38" s="389"/>
      <c r="AC38" s="389"/>
      <c r="AD38" s="389"/>
      <c r="AE38" s="389"/>
      <c r="AF38" s="389"/>
      <c r="AG38" s="389"/>
      <c r="AH38" s="389"/>
      <c r="AI38" s="389"/>
      <c r="AJ38" s="389"/>
      <c r="AK38" s="389"/>
      <c r="AM38" s="391">
        <f t="shared" si="69"/>
        <v>0</v>
      </c>
      <c r="AN38" s="391">
        <f t="shared" si="70"/>
        <v>0</v>
      </c>
    </row>
    <row r="39" spans="2:40" x14ac:dyDescent="0.2">
      <c r="B39" s="1564" t="str">
        <f>IF('Sources &amp; Loan Sizing'!B20&lt;&gt;"",'Sources &amp; Loan Sizing'!B20,"")</f>
        <v/>
      </c>
      <c r="C39" s="1565"/>
      <c r="D39" s="1566"/>
      <c r="E39" s="390">
        <f>'Sources &amp; Loan Sizing'!F20</f>
        <v>0</v>
      </c>
      <c r="F39" s="390">
        <f t="shared" si="66"/>
        <v>0</v>
      </c>
      <c r="G39" s="389"/>
      <c r="H39" s="389"/>
      <c r="I39" s="389"/>
      <c r="J39" s="389"/>
      <c r="K39" s="389"/>
      <c r="L39" s="389"/>
      <c r="M39" s="389"/>
      <c r="N39" s="389"/>
      <c r="O39" s="389"/>
      <c r="P39" s="389"/>
      <c r="Q39" s="389"/>
      <c r="R39" s="389"/>
      <c r="S39" s="389"/>
      <c r="T39" s="389"/>
      <c r="U39" s="389"/>
      <c r="V39" s="389"/>
      <c r="W39" s="389"/>
      <c r="X39" s="389"/>
      <c r="Y39" s="389"/>
      <c r="Z39" s="389"/>
      <c r="AA39" s="389"/>
      <c r="AB39" s="389"/>
      <c r="AC39" s="389"/>
      <c r="AD39" s="389"/>
      <c r="AE39" s="389"/>
      <c r="AF39" s="389"/>
      <c r="AG39" s="389"/>
      <c r="AH39" s="389"/>
      <c r="AI39" s="389"/>
      <c r="AJ39" s="389"/>
      <c r="AK39" s="389"/>
      <c r="AM39" s="391">
        <f t="shared" si="69"/>
        <v>0</v>
      </c>
      <c r="AN39" s="391">
        <f t="shared" si="70"/>
        <v>0</v>
      </c>
    </row>
    <row r="40" spans="2:40" x14ac:dyDescent="0.2">
      <c r="B40" s="1564" t="str">
        <f>IF('Sources &amp; Loan Sizing'!B21&lt;&gt;"",'Sources &amp; Loan Sizing'!B21,"")</f>
        <v/>
      </c>
      <c r="C40" s="1565"/>
      <c r="D40" s="1566"/>
      <c r="E40" s="390">
        <f>'Sources &amp; Loan Sizing'!F21</f>
        <v>0</v>
      </c>
      <c r="F40" s="390">
        <f t="shared" si="66"/>
        <v>0</v>
      </c>
      <c r="G40" s="389"/>
      <c r="H40" s="389"/>
      <c r="I40" s="389"/>
      <c r="J40" s="389"/>
      <c r="K40" s="389"/>
      <c r="L40" s="389"/>
      <c r="M40" s="389"/>
      <c r="N40" s="389"/>
      <c r="O40" s="389"/>
      <c r="P40" s="389"/>
      <c r="Q40" s="389"/>
      <c r="R40" s="389"/>
      <c r="S40" s="389"/>
      <c r="T40" s="389"/>
      <c r="U40" s="389"/>
      <c r="V40" s="389"/>
      <c r="W40" s="389"/>
      <c r="X40" s="389"/>
      <c r="Y40" s="389"/>
      <c r="Z40" s="389"/>
      <c r="AA40" s="389"/>
      <c r="AB40" s="389"/>
      <c r="AC40" s="389"/>
      <c r="AD40" s="389"/>
      <c r="AE40" s="389"/>
      <c r="AF40" s="389"/>
      <c r="AG40" s="389"/>
      <c r="AH40" s="389"/>
      <c r="AI40" s="389"/>
      <c r="AJ40" s="389"/>
      <c r="AK40" s="389"/>
      <c r="AM40" s="391">
        <f t="shared" si="69"/>
        <v>0</v>
      </c>
      <c r="AN40" s="391">
        <f t="shared" si="70"/>
        <v>0</v>
      </c>
    </row>
    <row r="41" spans="2:40" x14ac:dyDescent="0.2">
      <c r="B41" s="1564" t="str">
        <f>IF('Sources &amp; Loan Sizing'!B22&lt;&gt;"",'Sources &amp; Loan Sizing'!B22,"")</f>
        <v/>
      </c>
      <c r="C41" s="1565"/>
      <c r="D41" s="1566"/>
      <c r="E41" s="390">
        <f>'Sources &amp; Loan Sizing'!F22</f>
        <v>0</v>
      </c>
      <c r="F41" s="390">
        <f t="shared" si="66"/>
        <v>0</v>
      </c>
      <c r="G41" s="389"/>
      <c r="H41" s="389"/>
      <c r="I41" s="389"/>
      <c r="J41" s="389"/>
      <c r="K41" s="389"/>
      <c r="L41" s="389"/>
      <c r="M41" s="389"/>
      <c r="N41" s="389"/>
      <c r="O41" s="389"/>
      <c r="P41" s="389"/>
      <c r="Q41" s="389"/>
      <c r="R41" s="389"/>
      <c r="S41" s="389"/>
      <c r="T41" s="389"/>
      <c r="U41" s="389"/>
      <c r="V41" s="389"/>
      <c r="W41" s="389"/>
      <c r="X41" s="389"/>
      <c r="Y41" s="389"/>
      <c r="Z41" s="389"/>
      <c r="AA41" s="389"/>
      <c r="AB41" s="389"/>
      <c r="AC41" s="389"/>
      <c r="AD41" s="389"/>
      <c r="AE41" s="389"/>
      <c r="AF41" s="389"/>
      <c r="AG41" s="389"/>
      <c r="AH41" s="389"/>
      <c r="AI41" s="389"/>
      <c r="AJ41" s="389"/>
      <c r="AK41" s="389"/>
      <c r="AM41" s="391">
        <f t="shared" si="69"/>
        <v>0</v>
      </c>
      <c r="AN41" s="391">
        <f t="shared" si="70"/>
        <v>0</v>
      </c>
    </row>
    <row r="42" spans="2:40" x14ac:dyDescent="0.2">
      <c r="B42" s="1564" t="str">
        <f>IF('Sources &amp; Loan Sizing'!B23&lt;&gt;"",'Sources &amp; Loan Sizing'!B23,"")</f>
        <v/>
      </c>
      <c r="C42" s="1565"/>
      <c r="D42" s="1566"/>
      <c r="E42" s="390">
        <f>'Sources &amp; Loan Sizing'!F23</f>
        <v>0</v>
      </c>
      <c r="F42" s="390">
        <f t="shared" si="66"/>
        <v>0</v>
      </c>
      <c r="G42" s="389"/>
      <c r="H42" s="389"/>
      <c r="I42" s="389"/>
      <c r="J42" s="389"/>
      <c r="K42" s="389"/>
      <c r="L42" s="389"/>
      <c r="M42" s="389"/>
      <c r="N42" s="389"/>
      <c r="O42" s="389"/>
      <c r="P42" s="389"/>
      <c r="Q42" s="389"/>
      <c r="R42" s="389"/>
      <c r="S42" s="389"/>
      <c r="T42" s="389"/>
      <c r="U42" s="389"/>
      <c r="V42" s="389"/>
      <c r="W42" s="389"/>
      <c r="X42" s="389"/>
      <c r="Y42" s="389"/>
      <c r="Z42" s="389"/>
      <c r="AA42" s="389"/>
      <c r="AB42" s="389"/>
      <c r="AC42" s="389"/>
      <c r="AD42" s="389"/>
      <c r="AE42" s="389"/>
      <c r="AF42" s="389"/>
      <c r="AG42" s="389"/>
      <c r="AH42" s="389"/>
      <c r="AI42" s="389"/>
      <c r="AJ42" s="389"/>
      <c r="AK42" s="389"/>
      <c r="AM42" s="391">
        <f t="shared" si="69"/>
        <v>0</v>
      </c>
      <c r="AN42" s="391">
        <f t="shared" si="70"/>
        <v>0</v>
      </c>
    </row>
    <row r="43" spans="2:40" x14ac:dyDescent="0.2">
      <c r="B43" s="1564" t="str">
        <f>IF('Sources &amp; Loan Sizing'!B24&lt;&gt;"",'Sources &amp; Loan Sizing'!B24,"")</f>
        <v/>
      </c>
      <c r="C43" s="1565"/>
      <c r="D43" s="1566"/>
      <c r="E43" s="390">
        <f>'Sources &amp; Loan Sizing'!F24</f>
        <v>0</v>
      </c>
      <c r="F43" s="390">
        <f t="shared" si="66"/>
        <v>0</v>
      </c>
      <c r="G43" s="389"/>
      <c r="H43" s="389"/>
      <c r="I43" s="389"/>
      <c r="J43" s="389"/>
      <c r="K43" s="389"/>
      <c r="L43" s="389"/>
      <c r="M43" s="389"/>
      <c r="N43" s="389"/>
      <c r="O43" s="389"/>
      <c r="P43" s="389"/>
      <c r="Q43" s="389"/>
      <c r="R43" s="389"/>
      <c r="S43" s="389"/>
      <c r="T43" s="389"/>
      <c r="U43" s="389"/>
      <c r="V43" s="389"/>
      <c r="W43" s="389"/>
      <c r="X43" s="389"/>
      <c r="Y43" s="389"/>
      <c r="Z43" s="389"/>
      <c r="AA43" s="389"/>
      <c r="AB43" s="389"/>
      <c r="AC43" s="389"/>
      <c r="AD43" s="389"/>
      <c r="AE43" s="389"/>
      <c r="AF43" s="389"/>
      <c r="AG43" s="389"/>
      <c r="AH43" s="389"/>
      <c r="AI43" s="389"/>
      <c r="AJ43" s="389"/>
      <c r="AK43" s="389"/>
      <c r="AM43" s="391">
        <f t="shared" si="69"/>
        <v>0</v>
      </c>
      <c r="AN43" s="391">
        <f t="shared" si="70"/>
        <v>0</v>
      </c>
    </row>
    <row r="44" spans="2:40" x14ac:dyDescent="0.2">
      <c r="B44" s="1564" t="str">
        <f>IF('Sources &amp; Loan Sizing'!B25&lt;&gt;"",'Sources &amp; Loan Sizing'!B25,"")</f>
        <v/>
      </c>
      <c r="C44" s="1565"/>
      <c r="D44" s="1566"/>
      <c r="E44" s="390">
        <f>'Sources &amp; Loan Sizing'!F25</f>
        <v>0</v>
      </c>
      <c r="F44" s="390">
        <f t="shared" si="66"/>
        <v>0</v>
      </c>
      <c r="G44" s="389"/>
      <c r="H44" s="389"/>
      <c r="I44" s="389"/>
      <c r="J44" s="389"/>
      <c r="K44" s="389"/>
      <c r="L44" s="389"/>
      <c r="M44" s="389"/>
      <c r="N44" s="389"/>
      <c r="O44" s="389"/>
      <c r="P44" s="389"/>
      <c r="Q44" s="389"/>
      <c r="R44" s="389"/>
      <c r="S44" s="389"/>
      <c r="T44" s="389"/>
      <c r="U44" s="389"/>
      <c r="V44" s="389"/>
      <c r="W44" s="389"/>
      <c r="X44" s="389"/>
      <c r="Y44" s="389"/>
      <c r="Z44" s="389"/>
      <c r="AA44" s="389"/>
      <c r="AB44" s="389"/>
      <c r="AC44" s="389"/>
      <c r="AD44" s="389"/>
      <c r="AE44" s="389"/>
      <c r="AF44" s="389"/>
      <c r="AG44" s="389"/>
      <c r="AH44" s="389"/>
      <c r="AI44" s="389"/>
      <c r="AJ44" s="389"/>
      <c r="AK44" s="389"/>
      <c r="AM44" s="391">
        <f t="shared" si="69"/>
        <v>0</v>
      </c>
      <c r="AN44" s="391">
        <f t="shared" si="70"/>
        <v>0</v>
      </c>
    </row>
    <row r="45" spans="2:40" x14ac:dyDescent="0.2">
      <c r="B45" s="1564" t="str">
        <f>IF('Sources &amp; Loan Sizing'!B26&lt;&gt;"",'Sources &amp; Loan Sizing'!B26,"")</f>
        <v/>
      </c>
      <c r="C45" s="1565"/>
      <c r="D45" s="1566"/>
      <c r="E45" s="390">
        <f>'Sources &amp; Loan Sizing'!F26</f>
        <v>0</v>
      </c>
      <c r="F45" s="390">
        <f t="shared" si="66"/>
        <v>0</v>
      </c>
      <c r="G45" s="389"/>
      <c r="H45" s="389"/>
      <c r="I45" s="389"/>
      <c r="J45" s="389"/>
      <c r="K45" s="389"/>
      <c r="L45" s="389"/>
      <c r="M45" s="389"/>
      <c r="N45" s="389"/>
      <c r="O45" s="389"/>
      <c r="P45" s="389"/>
      <c r="Q45" s="389"/>
      <c r="R45" s="389"/>
      <c r="S45" s="389"/>
      <c r="T45" s="389"/>
      <c r="U45" s="389"/>
      <c r="V45" s="389"/>
      <c r="W45" s="389"/>
      <c r="X45" s="389"/>
      <c r="Y45" s="389"/>
      <c r="Z45" s="389"/>
      <c r="AA45" s="389"/>
      <c r="AB45" s="389"/>
      <c r="AC45" s="389"/>
      <c r="AD45" s="389"/>
      <c r="AE45" s="389"/>
      <c r="AF45" s="389"/>
      <c r="AG45" s="389"/>
      <c r="AH45" s="389"/>
      <c r="AI45" s="389"/>
      <c r="AJ45" s="389"/>
      <c r="AK45" s="389"/>
      <c r="AM45" s="391">
        <f t="shared" si="69"/>
        <v>0</v>
      </c>
      <c r="AN45" s="391">
        <f t="shared" si="70"/>
        <v>0</v>
      </c>
    </row>
    <row r="46" spans="2:40" x14ac:dyDescent="0.2">
      <c r="B46" s="1564" t="str">
        <f>IF('Sources &amp; Loan Sizing'!B27&lt;&gt;"",'Sources &amp; Loan Sizing'!B27,"")</f>
        <v>Owner Equity</v>
      </c>
      <c r="C46" s="1565"/>
      <c r="D46" s="1566"/>
      <c r="E46" s="390">
        <f>'Sources &amp; Loan Sizing'!F27</f>
        <v>0</v>
      </c>
      <c r="F46" s="390">
        <f t="shared" si="66"/>
        <v>0</v>
      </c>
      <c r="G46" s="389"/>
      <c r="H46" s="389"/>
      <c r="I46" s="389"/>
      <c r="J46" s="389"/>
      <c r="K46" s="389"/>
      <c r="L46" s="389"/>
      <c r="M46" s="389"/>
      <c r="N46" s="389"/>
      <c r="O46" s="389"/>
      <c r="P46" s="389"/>
      <c r="Q46" s="389"/>
      <c r="R46" s="389"/>
      <c r="S46" s="389"/>
      <c r="T46" s="389"/>
      <c r="U46" s="389"/>
      <c r="V46" s="389"/>
      <c r="W46" s="389"/>
      <c r="X46" s="389"/>
      <c r="Y46" s="389"/>
      <c r="Z46" s="389"/>
      <c r="AA46" s="389"/>
      <c r="AB46" s="389"/>
      <c r="AC46" s="389"/>
      <c r="AD46" s="389"/>
      <c r="AE46" s="389"/>
      <c r="AF46" s="389"/>
      <c r="AG46" s="389"/>
      <c r="AH46" s="389"/>
      <c r="AI46" s="389"/>
      <c r="AJ46" s="389"/>
      <c r="AK46" s="389"/>
      <c r="AM46" s="391">
        <f t="shared" si="69"/>
        <v>0</v>
      </c>
      <c r="AN46" s="391">
        <f t="shared" si="70"/>
        <v>0</v>
      </c>
    </row>
    <row r="47" spans="2:40" x14ac:dyDescent="0.2">
      <c r="B47" s="1564" t="str">
        <f>IF('Sources &amp; Loan Sizing'!B28&lt;&gt;"",'Sources &amp; Loan Sizing'!B28,"")</f>
        <v>Cash Required / (Cash Out)</v>
      </c>
      <c r="C47" s="1565"/>
      <c r="D47" s="1566"/>
      <c r="E47" s="390">
        <f>'Sources &amp; Loan Sizing'!F28</f>
        <v>0</v>
      </c>
      <c r="F47" s="390">
        <f t="shared" si="66"/>
        <v>0</v>
      </c>
      <c r="G47" s="389"/>
      <c r="H47" s="389"/>
      <c r="I47" s="389"/>
      <c r="J47" s="389"/>
      <c r="K47" s="389"/>
      <c r="L47" s="389"/>
      <c r="M47" s="389"/>
      <c r="N47" s="389"/>
      <c r="O47" s="389"/>
      <c r="P47" s="389"/>
      <c r="Q47" s="389"/>
      <c r="R47" s="389"/>
      <c r="S47" s="389"/>
      <c r="T47" s="389"/>
      <c r="U47" s="389"/>
      <c r="V47" s="389"/>
      <c r="W47" s="389"/>
      <c r="X47" s="389"/>
      <c r="Y47" s="389"/>
      <c r="Z47" s="389"/>
      <c r="AA47" s="389"/>
      <c r="AB47" s="389"/>
      <c r="AC47" s="389"/>
      <c r="AD47" s="389"/>
      <c r="AE47" s="389"/>
      <c r="AF47" s="389"/>
      <c r="AG47" s="389"/>
      <c r="AH47" s="389"/>
      <c r="AI47" s="389"/>
      <c r="AJ47" s="389"/>
      <c r="AK47" s="389"/>
      <c r="AM47" s="391">
        <f t="shared" si="69"/>
        <v>0</v>
      </c>
      <c r="AN47" s="391">
        <f t="shared" si="70"/>
        <v>0</v>
      </c>
    </row>
    <row r="48" spans="2:40" x14ac:dyDescent="0.2">
      <c r="B48" s="1571" t="s">
        <v>645</v>
      </c>
      <c r="C48" s="1572"/>
      <c r="D48" s="1573"/>
      <c r="E48" s="392">
        <f t="shared" ref="E48:U48" si="71">SUM(E31:E47)</f>
        <v>0</v>
      </c>
      <c r="F48" s="393">
        <f t="shared" si="71"/>
        <v>0</v>
      </c>
      <c r="G48" s="392">
        <f t="shared" si="71"/>
        <v>0</v>
      </c>
      <c r="H48" s="392">
        <f t="shared" si="71"/>
        <v>0</v>
      </c>
      <c r="I48" s="392">
        <f t="shared" si="71"/>
        <v>0</v>
      </c>
      <c r="J48" s="392">
        <f t="shared" si="71"/>
        <v>0</v>
      </c>
      <c r="K48" s="392">
        <f t="shared" si="71"/>
        <v>0</v>
      </c>
      <c r="L48" s="392">
        <f t="shared" si="71"/>
        <v>0</v>
      </c>
      <c r="M48" s="392">
        <f t="shared" si="71"/>
        <v>0</v>
      </c>
      <c r="N48" s="392">
        <f t="shared" si="71"/>
        <v>0</v>
      </c>
      <c r="O48" s="392">
        <f t="shared" si="71"/>
        <v>0</v>
      </c>
      <c r="P48" s="392">
        <f t="shared" si="71"/>
        <v>0</v>
      </c>
      <c r="Q48" s="392">
        <f t="shared" si="71"/>
        <v>0</v>
      </c>
      <c r="R48" s="392">
        <f t="shared" si="71"/>
        <v>0</v>
      </c>
      <c r="S48" s="392">
        <f t="shared" si="71"/>
        <v>0</v>
      </c>
      <c r="T48" s="392">
        <f t="shared" si="71"/>
        <v>0</v>
      </c>
      <c r="U48" s="392">
        <f t="shared" si="71"/>
        <v>0</v>
      </c>
      <c r="V48" s="392">
        <f t="shared" ref="V48:AK48" si="72">SUM(V31:V47)</f>
        <v>0</v>
      </c>
      <c r="W48" s="392">
        <f t="shared" si="72"/>
        <v>0</v>
      </c>
      <c r="X48" s="392">
        <f t="shared" si="72"/>
        <v>0</v>
      </c>
      <c r="Y48" s="392">
        <f t="shared" si="72"/>
        <v>0</v>
      </c>
      <c r="Z48" s="392">
        <f t="shared" si="72"/>
        <v>0</v>
      </c>
      <c r="AA48" s="392">
        <f t="shared" si="72"/>
        <v>0</v>
      </c>
      <c r="AB48" s="392">
        <f t="shared" si="72"/>
        <v>0</v>
      </c>
      <c r="AC48" s="392">
        <f t="shared" si="72"/>
        <v>0</v>
      </c>
      <c r="AD48" s="392">
        <f t="shared" si="72"/>
        <v>0</v>
      </c>
      <c r="AE48" s="392">
        <f t="shared" si="72"/>
        <v>0</v>
      </c>
      <c r="AF48" s="392">
        <f t="shared" si="72"/>
        <v>0</v>
      </c>
      <c r="AG48" s="392">
        <f t="shared" si="72"/>
        <v>0</v>
      </c>
      <c r="AH48" s="392">
        <f t="shared" si="72"/>
        <v>0</v>
      </c>
      <c r="AI48" s="392">
        <f t="shared" si="72"/>
        <v>0</v>
      </c>
      <c r="AJ48" s="392">
        <f t="shared" si="72"/>
        <v>0</v>
      </c>
      <c r="AK48" s="392">
        <f t="shared" si="72"/>
        <v>0</v>
      </c>
      <c r="AM48" s="392">
        <f>SUM(AM31:AM47)</f>
        <v>0</v>
      </c>
      <c r="AN48" s="394">
        <f t="shared" si="68"/>
        <v>0</v>
      </c>
    </row>
    <row r="49" spans="1:42" x14ac:dyDescent="0.2">
      <c r="B49" s="417" t="s">
        <v>707</v>
      </c>
      <c r="C49" s="418"/>
      <c r="D49" s="419"/>
      <c r="E49" s="577" t="str">
        <f>IF(E48-'Sources &amp; Loan Sizing'!F29&lt;&gt;0,"Error","OK")</f>
        <v>OK</v>
      </c>
      <c r="F49" s="407"/>
      <c r="G49" s="406"/>
      <c r="H49" s="406"/>
      <c r="I49" s="406"/>
      <c r="J49" s="406"/>
      <c r="K49" s="406"/>
      <c r="L49" s="406"/>
      <c r="M49" s="406"/>
      <c r="N49" s="406"/>
      <c r="O49" s="406"/>
      <c r="P49" s="406"/>
      <c r="Q49" s="406"/>
      <c r="R49" s="406"/>
      <c r="S49" s="406"/>
      <c r="T49" s="406"/>
      <c r="U49" s="406"/>
      <c r="V49" s="406"/>
      <c r="W49" s="406"/>
      <c r="X49" s="406"/>
      <c r="Y49" s="406"/>
      <c r="Z49" s="406"/>
      <c r="AA49" s="406"/>
      <c r="AB49" s="406"/>
      <c r="AC49" s="406"/>
      <c r="AD49" s="406"/>
      <c r="AE49" s="406"/>
      <c r="AF49" s="406"/>
      <c r="AG49" s="406"/>
      <c r="AH49" s="406"/>
      <c r="AI49" s="406"/>
      <c r="AJ49" s="406"/>
      <c r="AK49" s="406"/>
      <c r="AM49" s="406"/>
      <c r="AN49" s="406"/>
      <c r="AP49" s="396"/>
    </row>
    <row r="50" spans="1:42" x14ac:dyDescent="0.2">
      <c r="A50" s="381" t="s">
        <v>706</v>
      </c>
      <c r="AN50" s="396">
        <f>AN48-AN26</f>
        <v>0</v>
      </c>
    </row>
    <row r="51" spans="1:42" ht="12.75" customHeight="1" x14ac:dyDescent="0.2">
      <c r="B51" s="1560" t="s">
        <v>654</v>
      </c>
      <c r="C51" s="1560"/>
      <c r="D51" s="1560"/>
      <c r="E51" s="1560"/>
      <c r="F51" s="1560"/>
      <c r="G51" s="382" t="s">
        <v>612</v>
      </c>
      <c r="H51" s="382" t="s">
        <v>613</v>
      </c>
      <c r="I51" s="382" t="s">
        <v>614</v>
      </c>
      <c r="J51" s="382" t="s">
        <v>615</v>
      </c>
      <c r="K51" s="382" t="s">
        <v>616</v>
      </c>
      <c r="L51" s="382" t="s">
        <v>617</v>
      </c>
      <c r="M51" s="382" t="s">
        <v>618</v>
      </c>
      <c r="N51" s="382" t="s">
        <v>619</v>
      </c>
      <c r="O51" s="382" t="s">
        <v>620</v>
      </c>
      <c r="P51" s="382" t="s">
        <v>621</v>
      </c>
      <c r="Q51" s="382" t="s">
        <v>622</v>
      </c>
      <c r="R51" s="382" t="s">
        <v>623</v>
      </c>
      <c r="S51" s="382" t="s">
        <v>624</v>
      </c>
      <c r="T51" s="382" t="s">
        <v>625</v>
      </c>
      <c r="U51" s="382" t="s">
        <v>626</v>
      </c>
      <c r="V51" s="382" t="s">
        <v>627</v>
      </c>
      <c r="W51" s="382" t="s">
        <v>628</v>
      </c>
      <c r="X51" s="382" t="s">
        <v>629</v>
      </c>
      <c r="Y51" s="382" t="s">
        <v>630</v>
      </c>
      <c r="Z51" s="382" t="s">
        <v>631</v>
      </c>
      <c r="AA51" s="382" t="s">
        <v>632</v>
      </c>
      <c r="AB51" s="382" t="s">
        <v>633</v>
      </c>
      <c r="AC51" s="382" t="s">
        <v>634</v>
      </c>
      <c r="AD51" s="382" t="s">
        <v>635</v>
      </c>
      <c r="AE51" s="382" t="s">
        <v>1027</v>
      </c>
      <c r="AF51" s="382" t="s">
        <v>1028</v>
      </c>
      <c r="AG51" s="382" t="s">
        <v>1029</v>
      </c>
      <c r="AH51" s="382" t="s">
        <v>1030</v>
      </c>
      <c r="AI51" s="382" t="s">
        <v>1031</v>
      </c>
      <c r="AJ51" s="382" t="s">
        <v>1032</v>
      </c>
      <c r="AK51" s="382" t="s">
        <v>1033</v>
      </c>
      <c r="AM51" s="382" t="s">
        <v>637</v>
      </c>
      <c r="AN51" s="382" t="s">
        <v>36</v>
      </c>
    </row>
    <row r="52" spans="1:42" ht="12.75" customHeight="1" x14ac:dyDescent="0.2">
      <c r="B52" s="1567" t="s">
        <v>103</v>
      </c>
      <c r="C52" s="1568"/>
      <c r="D52" s="397" t="s">
        <v>44</v>
      </c>
      <c r="E52" s="398"/>
      <c r="F52" s="398"/>
      <c r="G52" s="382"/>
      <c r="H52" s="382"/>
      <c r="I52" s="382"/>
      <c r="J52" s="382"/>
      <c r="K52" s="382"/>
      <c r="L52" s="382"/>
      <c r="M52" s="382"/>
      <c r="N52" s="382"/>
      <c r="O52" s="382"/>
      <c r="P52" s="382"/>
      <c r="Q52" s="382"/>
      <c r="R52" s="382"/>
      <c r="S52" s="382"/>
      <c r="T52" s="382"/>
      <c r="U52" s="382"/>
      <c r="V52" s="382"/>
      <c r="W52" s="382"/>
      <c r="X52" s="382"/>
      <c r="Y52" s="382"/>
      <c r="Z52" s="382"/>
      <c r="AA52" s="382"/>
      <c r="AB52" s="382"/>
      <c r="AC52" s="382"/>
      <c r="AD52" s="382"/>
      <c r="AE52" s="382"/>
      <c r="AF52" s="382"/>
      <c r="AG52" s="382"/>
      <c r="AH52" s="382"/>
      <c r="AI52" s="382"/>
      <c r="AJ52" s="382"/>
      <c r="AK52" s="382"/>
      <c r="AM52" s="382"/>
      <c r="AN52" s="382"/>
    </row>
    <row r="53" spans="1:42" ht="12.75" customHeight="1" x14ac:dyDescent="0.2">
      <c r="B53" s="1569"/>
      <c r="C53" s="1570"/>
      <c r="D53" s="399"/>
      <c r="E53" s="398"/>
      <c r="F53" s="398"/>
      <c r="G53" s="382"/>
      <c r="H53" s="382"/>
      <c r="I53" s="382"/>
      <c r="J53" s="382"/>
      <c r="K53" s="382"/>
      <c r="L53" s="382"/>
      <c r="M53" s="382"/>
      <c r="N53" s="382"/>
      <c r="O53" s="382"/>
      <c r="P53" s="382"/>
      <c r="Q53" s="382"/>
      <c r="R53" s="382"/>
      <c r="S53" s="382"/>
      <c r="T53" s="382"/>
      <c r="U53" s="382"/>
      <c r="V53" s="382"/>
      <c r="W53" s="382"/>
      <c r="X53" s="382"/>
      <c r="Y53" s="382"/>
      <c r="Z53" s="382"/>
      <c r="AA53" s="382"/>
      <c r="AB53" s="382"/>
      <c r="AC53" s="382"/>
      <c r="AD53" s="382"/>
      <c r="AE53" s="382"/>
      <c r="AF53" s="382"/>
      <c r="AG53" s="382"/>
      <c r="AH53" s="382"/>
      <c r="AI53" s="382"/>
      <c r="AJ53" s="382"/>
      <c r="AK53" s="382"/>
      <c r="AM53" s="382"/>
      <c r="AN53" s="382"/>
    </row>
    <row r="54" spans="1:42" ht="12.75" customHeight="1" x14ac:dyDescent="0.2">
      <c r="B54" s="1559"/>
      <c r="C54" s="1559"/>
      <c r="D54" s="1559"/>
      <c r="E54" s="1559"/>
      <c r="F54" s="1559"/>
      <c r="G54" s="400"/>
      <c r="H54" s="400"/>
      <c r="I54" s="400"/>
      <c r="J54" s="400"/>
      <c r="K54" s="400"/>
      <c r="L54" s="400"/>
      <c r="M54" s="400"/>
      <c r="N54" s="400"/>
      <c r="O54" s="400"/>
      <c r="P54" s="400"/>
      <c r="Q54" s="400"/>
      <c r="R54" s="400"/>
      <c r="S54" s="400"/>
      <c r="T54" s="400"/>
      <c r="U54" s="400"/>
      <c r="V54" s="400"/>
      <c r="W54" s="400"/>
      <c r="X54" s="400"/>
      <c r="Y54" s="400"/>
      <c r="Z54" s="400"/>
      <c r="AA54" s="400"/>
      <c r="AB54" s="400"/>
      <c r="AC54" s="400"/>
      <c r="AD54" s="400"/>
      <c r="AE54" s="400"/>
      <c r="AF54" s="400"/>
      <c r="AG54" s="400"/>
      <c r="AH54" s="400"/>
      <c r="AI54" s="400"/>
      <c r="AJ54" s="400"/>
      <c r="AK54" s="400"/>
      <c r="AM54" s="400"/>
      <c r="AN54" s="400"/>
    </row>
    <row r="55" spans="1:42" x14ac:dyDescent="0.2">
      <c r="B55" s="1559" t="s">
        <v>646</v>
      </c>
      <c r="C55" s="1559"/>
      <c r="D55" s="1559"/>
      <c r="E55" s="1559"/>
      <c r="F55" s="1559"/>
      <c r="G55" s="383">
        <v>0</v>
      </c>
      <c r="H55" s="383">
        <f>G62</f>
        <v>0</v>
      </c>
      <c r="I55" s="383">
        <f t="shared" ref="I55:U55" si="73">H62</f>
        <v>0</v>
      </c>
      <c r="J55" s="383">
        <f t="shared" si="73"/>
        <v>0</v>
      </c>
      <c r="K55" s="383">
        <f t="shared" si="73"/>
        <v>0</v>
      </c>
      <c r="L55" s="383">
        <f t="shared" si="73"/>
        <v>0</v>
      </c>
      <c r="M55" s="383">
        <f t="shared" si="73"/>
        <v>0</v>
      </c>
      <c r="N55" s="383">
        <f t="shared" si="73"/>
        <v>0</v>
      </c>
      <c r="O55" s="383">
        <f t="shared" si="73"/>
        <v>0</v>
      </c>
      <c r="P55" s="383">
        <f t="shared" si="73"/>
        <v>0</v>
      </c>
      <c r="Q55" s="383">
        <f t="shared" si="73"/>
        <v>0</v>
      </c>
      <c r="R55" s="383">
        <f t="shared" si="73"/>
        <v>0</v>
      </c>
      <c r="S55" s="383">
        <f t="shared" si="73"/>
        <v>0</v>
      </c>
      <c r="T55" s="383">
        <f t="shared" si="73"/>
        <v>0</v>
      </c>
      <c r="U55" s="383">
        <f t="shared" si="73"/>
        <v>0</v>
      </c>
      <c r="V55" s="383">
        <f t="shared" ref="V55" si="74">U62</f>
        <v>0</v>
      </c>
      <c r="W55" s="383">
        <f t="shared" ref="W55" si="75">V62</f>
        <v>0</v>
      </c>
      <c r="X55" s="383">
        <f t="shared" ref="X55" si="76">W62</f>
        <v>0</v>
      </c>
      <c r="Y55" s="383">
        <f t="shared" ref="Y55" si="77">X62</f>
        <v>0</v>
      </c>
      <c r="Z55" s="383">
        <f t="shared" ref="Z55" si="78">Y62</f>
        <v>0</v>
      </c>
      <c r="AA55" s="383">
        <f t="shared" ref="AA55" si="79">Z62</f>
        <v>0</v>
      </c>
      <c r="AB55" s="383">
        <f t="shared" ref="AB55" si="80">AA62</f>
        <v>0</v>
      </c>
      <c r="AC55" s="383">
        <f t="shared" ref="AC55" si="81">AB62</f>
        <v>0</v>
      </c>
      <c r="AD55" s="383">
        <f t="shared" ref="AD55" si="82">AC62</f>
        <v>0</v>
      </c>
      <c r="AE55" s="383">
        <f t="shared" ref="AE55" si="83">AD62</f>
        <v>0</v>
      </c>
      <c r="AF55" s="383">
        <f t="shared" ref="AF55" si="84">AE62</f>
        <v>0</v>
      </c>
      <c r="AG55" s="383">
        <f t="shared" ref="AG55" si="85">AF62</f>
        <v>0</v>
      </c>
      <c r="AH55" s="383">
        <f t="shared" ref="AH55" si="86">AG62</f>
        <v>0</v>
      </c>
      <c r="AI55" s="383">
        <f t="shared" ref="AI55" si="87">AH62</f>
        <v>0</v>
      </c>
      <c r="AJ55" s="383">
        <f t="shared" ref="AJ55" si="88">AI62</f>
        <v>0</v>
      </c>
      <c r="AK55" s="383">
        <f t="shared" ref="AK55" si="89">AJ62</f>
        <v>0</v>
      </c>
      <c r="AM55" s="383">
        <f>AK55</f>
        <v>0</v>
      </c>
      <c r="AN55" s="383">
        <f>AM55</f>
        <v>0</v>
      </c>
    </row>
    <row r="56" spans="1:42" x14ac:dyDescent="0.2">
      <c r="B56" s="1559" t="s">
        <v>656</v>
      </c>
      <c r="C56" s="1559"/>
      <c r="D56" s="1559"/>
      <c r="E56" s="1559"/>
      <c r="F56" s="1559"/>
      <c r="G56" s="383">
        <f>G48</f>
        <v>0</v>
      </c>
      <c r="H56" s="383">
        <f>IF(G73&gt;0,G73+H48,H48)</f>
        <v>0</v>
      </c>
      <c r="I56" s="383">
        <f t="shared" ref="I56:U56" si="90">IF(H73&gt;0,H73+I48,I48)</f>
        <v>0</v>
      </c>
      <c r="J56" s="383">
        <f t="shared" si="90"/>
        <v>0</v>
      </c>
      <c r="K56" s="383">
        <f t="shared" si="90"/>
        <v>0</v>
      </c>
      <c r="L56" s="383">
        <f t="shared" si="90"/>
        <v>0</v>
      </c>
      <c r="M56" s="383">
        <f t="shared" si="90"/>
        <v>0</v>
      </c>
      <c r="N56" s="383">
        <f t="shared" si="90"/>
        <v>0</v>
      </c>
      <c r="O56" s="383">
        <f t="shared" si="90"/>
        <v>0</v>
      </c>
      <c r="P56" s="383">
        <f t="shared" si="90"/>
        <v>0</v>
      </c>
      <c r="Q56" s="383">
        <f t="shared" si="90"/>
        <v>0</v>
      </c>
      <c r="R56" s="383">
        <f t="shared" si="90"/>
        <v>0</v>
      </c>
      <c r="S56" s="383">
        <f t="shared" si="90"/>
        <v>0</v>
      </c>
      <c r="T56" s="383">
        <f t="shared" si="90"/>
        <v>0</v>
      </c>
      <c r="U56" s="383">
        <f t="shared" si="90"/>
        <v>0</v>
      </c>
      <c r="V56" s="383">
        <f t="shared" ref="V56" si="91">IF(U73&gt;0,U73+V48,V48)</f>
        <v>0</v>
      </c>
      <c r="W56" s="383">
        <f t="shared" ref="W56" si="92">IF(V73&gt;0,V73+W48,W48)</f>
        <v>0</v>
      </c>
      <c r="X56" s="383">
        <f t="shared" ref="X56" si="93">IF(W73&gt;0,W73+X48,X48)</f>
        <v>0</v>
      </c>
      <c r="Y56" s="383">
        <f t="shared" ref="Y56" si="94">IF(X73&gt;0,X73+Y48,Y48)</f>
        <v>0</v>
      </c>
      <c r="Z56" s="383">
        <f t="shared" ref="Z56" si="95">IF(Y73&gt;0,Y73+Z48,Z48)</f>
        <v>0</v>
      </c>
      <c r="AA56" s="383">
        <f t="shared" ref="AA56" si="96">IF(Z73&gt;0,Z73+AA48,AA48)</f>
        <v>0</v>
      </c>
      <c r="AB56" s="383">
        <f t="shared" ref="AB56" si="97">IF(AA73&gt;0,AA73+AB48,AB48)</f>
        <v>0</v>
      </c>
      <c r="AC56" s="383">
        <f t="shared" ref="AC56" si="98">IF(AB73&gt;0,AB73+AC48,AC48)</f>
        <v>0</v>
      </c>
      <c r="AD56" s="383">
        <f t="shared" ref="AD56" si="99">IF(AC73&gt;0,AC73+AD48,AD48)</f>
        <v>0</v>
      </c>
      <c r="AE56" s="383">
        <f t="shared" ref="AE56" si="100">IF(AD73&gt;0,AD73+AE48,AE48)</f>
        <v>0</v>
      </c>
      <c r="AF56" s="383">
        <f t="shared" ref="AF56" si="101">IF(AE73&gt;0,AE73+AF48,AF48)</f>
        <v>0</v>
      </c>
      <c r="AG56" s="383">
        <f t="shared" ref="AG56" si="102">IF(AF73&gt;0,AF73+AG48,AG48)</f>
        <v>0</v>
      </c>
      <c r="AH56" s="383">
        <f t="shared" ref="AH56" si="103">IF(AG73&gt;0,AG73+AH48,AH48)</f>
        <v>0</v>
      </c>
      <c r="AI56" s="383">
        <f t="shared" ref="AI56" si="104">IF(AH73&gt;0,AH73+AI48,AI48)</f>
        <v>0</v>
      </c>
      <c r="AJ56" s="383">
        <f t="shared" ref="AJ56" si="105">IF(AI73&gt;0,AI73+AJ48,AJ48)</f>
        <v>0</v>
      </c>
      <c r="AK56" s="383">
        <f t="shared" ref="AK56" si="106">IF(AJ73&gt;0,AJ73+AK48,AK48)</f>
        <v>0</v>
      </c>
      <c r="AM56" s="383">
        <f>AK56</f>
        <v>0</v>
      </c>
      <c r="AN56" s="383">
        <f>AM56</f>
        <v>0</v>
      </c>
    </row>
    <row r="57" spans="1:42" x14ac:dyDescent="0.2">
      <c r="B57" s="1561" t="s">
        <v>647</v>
      </c>
      <c r="C57" s="1562"/>
      <c r="D57" s="1562"/>
      <c r="E57" s="1562"/>
      <c r="F57" s="1563"/>
      <c r="G57" s="383">
        <f t="shared" ref="G57:U57" si="107">-G26</f>
        <v>0</v>
      </c>
      <c r="H57" s="383">
        <f t="shared" si="107"/>
        <v>0</v>
      </c>
      <c r="I57" s="383">
        <f t="shared" si="107"/>
        <v>0</v>
      </c>
      <c r="J57" s="383">
        <f t="shared" si="107"/>
        <v>0</v>
      </c>
      <c r="K57" s="383">
        <f t="shared" si="107"/>
        <v>0</v>
      </c>
      <c r="L57" s="383">
        <f t="shared" si="107"/>
        <v>0</v>
      </c>
      <c r="M57" s="383">
        <f t="shared" si="107"/>
        <v>0</v>
      </c>
      <c r="N57" s="383">
        <f t="shared" si="107"/>
        <v>0</v>
      </c>
      <c r="O57" s="383">
        <f t="shared" si="107"/>
        <v>0</v>
      </c>
      <c r="P57" s="383">
        <f t="shared" si="107"/>
        <v>0</v>
      </c>
      <c r="Q57" s="383">
        <f t="shared" si="107"/>
        <v>0</v>
      </c>
      <c r="R57" s="383">
        <f t="shared" si="107"/>
        <v>0</v>
      </c>
      <c r="S57" s="383">
        <f t="shared" si="107"/>
        <v>0</v>
      </c>
      <c r="T57" s="383">
        <f t="shared" si="107"/>
        <v>0</v>
      </c>
      <c r="U57" s="383">
        <f t="shared" si="107"/>
        <v>0</v>
      </c>
      <c r="V57" s="383">
        <f t="shared" ref="V57:AK57" si="108">-V26</f>
        <v>0</v>
      </c>
      <c r="W57" s="383">
        <f t="shared" si="108"/>
        <v>0</v>
      </c>
      <c r="X57" s="383">
        <f t="shared" si="108"/>
        <v>0</v>
      </c>
      <c r="Y57" s="383">
        <f t="shared" si="108"/>
        <v>0</v>
      </c>
      <c r="Z57" s="383">
        <f t="shared" si="108"/>
        <v>0</v>
      </c>
      <c r="AA57" s="383">
        <f t="shared" si="108"/>
        <v>0</v>
      </c>
      <c r="AB57" s="383">
        <f t="shared" si="108"/>
        <v>0</v>
      </c>
      <c r="AC57" s="383">
        <f t="shared" si="108"/>
        <v>0</v>
      </c>
      <c r="AD57" s="383">
        <f t="shared" si="108"/>
        <v>0</v>
      </c>
      <c r="AE57" s="383">
        <f t="shared" si="108"/>
        <v>0</v>
      </c>
      <c r="AF57" s="383">
        <f t="shared" si="108"/>
        <v>0</v>
      </c>
      <c r="AG57" s="383">
        <f t="shared" si="108"/>
        <v>0</v>
      </c>
      <c r="AH57" s="383">
        <f t="shared" si="108"/>
        <v>0</v>
      </c>
      <c r="AI57" s="383">
        <f t="shared" si="108"/>
        <v>0</v>
      </c>
      <c r="AJ57" s="383">
        <f t="shared" si="108"/>
        <v>0</v>
      </c>
      <c r="AK57" s="383">
        <f t="shared" si="108"/>
        <v>0</v>
      </c>
      <c r="AM57" s="383">
        <f>AK57</f>
        <v>0</v>
      </c>
      <c r="AN57" s="383">
        <f>SUM(G57:S57,AM57)</f>
        <v>0</v>
      </c>
    </row>
    <row r="58" spans="1:42" x14ac:dyDescent="0.2">
      <c r="B58" s="1559" t="s">
        <v>648</v>
      </c>
      <c r="C58" s="1559"/>
      <c r="D58" s="1559"/>
      <c r="E58" s="1559"/>
      <c r="F58" s="1559"/>
      <c r="G58" s="383">
        <f>SUM(G56:G57)</f>
        <v>0</v>
      </c>
      <c r="H58" s="383">
        <f t="shared" ref="H58:AM58" si="109">SUM(H56:H57)</f>
        <v>0</v>
      </c>
      <c r="I58" s="383">
        <f t="shared" si="109"/>
        <v>0</v>
      </c>
      <c r="J58" s="383">
        <f t="shared" si="109"/>
        <v>0</v>
      </c>
      <c r="K58" s="383">
        <f t="shared" si="109"/>
        <v>0</v>
      </c>
      <c r="L58" s="383">
        <f t="shared" si="109"/>
        <v>0</v>
      </c>
      <c r="M58" s="383">
        <f t="shared" si="109"/>
        <v>0</v>
      </c>
      <c r="N58" s="383">
        <f t="shared" si="109"/>
        <v>0</v>
      </c>
      <c r="O58" s="383">
        <f t="shared" si="109"/>
        <v>0</v>
      </c>
      <c r="P58" s="383">
        <f t="shared" si="109"/>
        <v>0</v>
      </c>
      <c r="Q58" s="383">
        <f t="shared" si="109"/>
        <v>0</v>
      </c>
      <c r="R58" s="383">
        <f t="shared" si="109"/>
        <v>0</v>
      </c>
      <c r="S58" s="383">
        <f t="shared" si="109"/>
        <v>0</v>
      </c>
      <c r="T58" s="383">
        <f t="shared" si="109"/>
        <v>0</v>
      </c>
      <c r="U58" s="383">
        <f t="shared" si="109"/>
        <v>0</v>
      </c>
      <c r="V58" s="383">
        <f t="shared" ref="V58:AK58" si="110">SUM(V56:V57)</f>
        <v>0</v>
      </c>
      <c r="W58" s="383">
        <f t="shared" si="110"/>
        <v>0</v>
      </c>
      <c r="X58" s="383">
        <f t="shared" si="110"/>
        <v>0</v>
      </c>
      <c r="Y58" s="383">
        <f t="shared" si="110"/>
        <v>0</v>
      </c>
      <c r="Z58" s="383">
        <f t="shared" si="110"/>
        <v>0</v>
      </c>
      <c r="AA58" s="383">
        <f t="shared" si="110"/>
        <v>0</v>
      </c>
      <c r="AB58" s="383">
        <f t="shared" si="110"/>
        <v>0</v>
      </c>
      <c r="AC58" s="383">
        <f t="shared" si="110"/>
        <v>0</v>
      </c>
      <c r="AD58" s="383">
        <f t="shared" si="110"/>
        <v>0</v>
      </c>
      <c r="AE58" s="383">
        <f t="shared" si="110"/>
        <v>0</v>
      </c>
      <c r="AF58" s="383">
        <f t="shared" si="110"/>
        <v>0</v>
      </c>
      <c r="AG58" s="383">
        <f t="shared" si="110"/>
        <v>0</v>
      </c>
      <c r="AH58" s="383">
        <f t="shared" si="110"/>
        <v>0</v>
      </c>
      <c r="AI58" s="383">
        <f t="shared" si="110"/>
        <v>0</v>
      </c>
      <c r="AJ58" s="383">
        <f t="shared" si="110"/>
        <v>0</v>
      </c>
      <c r="AK58" s="383">
        <f t="shared" si="110"/>
        <v>0</v>
      </c>
      <c r="AM58" s="383">
        <f t="shared" si="109"/>
        <v>0</v>
      </c>
      <c r="AN58" s="383">
        <f>AM58</f>
        <v>0</v>
      </c>
    </row>
    <row r="59" spans="1:42" x14ac:dyDescent="0.2">
      <c r="B59" s="1574" t="s">
        <v>649</v>
      </c>
      <c r="C59" s="1574"/>
      <c r="D59" s="1574"/>
      <c r="E59" s="1574"/>
      <c r="F59" s="1574"/>
      <c r="G59" s="401"/>
      <c r="H59" s="401"/>
      <c r="I59" s="401"/>
      <c r="J59" s="401"/>
      <c r="K59" s="401"/>
      <c r="L59" s="401"/>
      <c r="M59" s="401"/>
      <c r="N59" s="401"/>
      <c r="O59" s="401"/>
      <c r="P59" s="401"/>
      <c r="Q59" s="401"/>
      <c r="R59" s="401"/>
      <c r="S59" s="401"/>
      <c r="T59" s="401"/>
      <c r="U59" s="401"/>
      <c r="V59" s="401"/>
      <c r="W59" s="401"/>
      <c r="X59" s="401"/>
      <c r="Y59" s="401"/>
      <c r="Z59" s="401"/>
      <c r="AA59" s="401"/>
      <c r="AB59" s="401"/>
      <c r="AC59" s="401"/>
      <c r="AD59" s="401"/>
      <c r="AE59" s="401"/>
      <c r="AF59" s="401"/>
      <c r="AG59" s="401"/>
      <c r="AH59" s="401"/>
      <c r="AI59" s="401"/>
      <c r="AJ59" s="401"/>
      <c r="AK59" s="401"/>
      <c r="AM59" s="383">
        <f>SUM(T59:AK59)</f>
        <v>0</v>
      </c>
      <c r="AN59" s="383">
        <f>SUM(G59:S59,AM59)</f>
        <v>0</v>
      </c>
    </row>
    <row r="60" spans="1:42" x14ac:dyDescent="0.2">
      <c r="B60" s="1559" t="s">
        <v>650</v>
      </c>
      <c r="C60" s="1559"/>
      <c r="D60" s="1559"/>
      <c r="E60" s="1559"/>
      <c r="F60" s="1559"/>
      <c r="G60" s="383">
        <f>SUM(G58:G59)</f>
        <v>0</v>
      </c>
      <c r="H60" s="383">
        <f t="shared" ref="H60:U60" si="111">SUM(H58:H59)</f>
        <v>0</v>
      </c>
      <c r="I60" s="383">
        <f t="shared" si="111"/>
        <v>0</v>
      </c>
      <c r="J60" s="383">
        <f t="shared" si="111"/>
        <v>0</v>
      </c>
      <c r="K60" s="383">
        <f t="shared" si="111"/>
        <v>0</v>
      </c>
      <c r="L60" s="383">
        <f t="shared" si="111"/>
        <v>0</v>
      </c>
      <c r="M60" s="383">
        <f t="shared" si="111"/>
        <v>0</v>
      </c>
      <c r="N60" s="383">
        <f t="shared" si="111"/>
        <v>0</v>
      </c>
      <c r="O60" s="383">
        <f t="shared" si="111"/>
        <v>0</v>
      </c>
      <c r="P60" s="383">
        <f t="shared" si="111"/>
        <v>0</v>
      </c>
      <c r="Q60" s="383">
        <f t="shared" si="111"/>
        <v>0</v>
      </c>
      <c r="R60" s="383">
        <f t="shared" si="111"/>
        <v>0</v>
      </c>
      <c r="S60" s="383">
        <f t="shared" si="111"/>
        <v>0</v>
      </c>
      <c r="T60" s="383">
        <f t="shared" si="111"/>
        <v>0</v>
      </c>
      <c r="U60" s="383">
        <f t="shared" si="111"/>
        <v>0</v>
      </c>
      <c r="V60" s="383">
        <f t="shared" ref="V60:AK60" si="112">SUM(V58:V59)</f>
        <v>0</v>
      </c>
      <c r="W60" s="383">
        <f t="shared" si="112"/>
        <v>0</v>
      </c>
      <c r="X60" s="383">
        <f t="shared" si="112"/>
        <v>0</v>
      </c>
      <c r="Y60" s="383">
        <f t="shared" si="112"/>
        <v>0</v>
      </c>
      <c r="Z60" s="383">
        <f t="shared" si="112"/>
        <v>0</v>
      </c>
      <c r="AA60" s="383">
        <f t="shared" si="112"/>
        <v>0</v>
      </c>
      <c r="AB60" s="383">
        <f t="shared" si="112"/>
        <v>0</v>
      </c>
      <c r="AC60" s="383">
        <f t="shared" si="112"/>
        <v>0</v>
      </c>
      <c r="AD60" s="383">
        <f t="shared" si="112"/>
        <v>0</v>
      </c>
      <c r="AE60" s="383">
        <f t="shared" si="112"/>
        <v>0</v>
      </c>
      <c r="AF60" s="383">
        <f t="shared" si="112"/>
        <v>0</v>
      </c>
      <c r="AG60" s="383">
        <f t="shared" si="112"/>
        <v>0</v>
      </c>
      <c r="AH60" s="383">
        <f t="shared" si="112"/>
        <v>0</v>
      </c>
      <c r="AI60" s="383">
        <f t="shared" si="112"/>
        <v>0</v>
      </c>
      <c r="AJ60" s="383">
        <f t="shared" si="112"/>
        <v>0</v>
      </c>
      <c r="AK60" s="383">
        <f t="shared" si="112"/>
        <v>0</v>
      </c>
      <c r="AM60" s="383">
        <f>AK60</f>
        <v>0</v>
      </c>
      <c r="AN60" s="383">
        <f>AM60</f>
        <v>0</v>
      </c>
    </row>
    <row r="61" spans="1:42" x14ac:dyDescent="0.2">
      <c r="B61" s="1559" t="s">
        <v>651</v>
      </c>
      <c r="C61" s="1559"/>
      <c r="D61" s="1559"/>
      <c r="E61" s="1559"/>
      <c r="F61" s="1559"/>
      <c r="G61" s="383">
        <f>IF(G60&lt;0,MIN(-G60,$B$53-G55),0)</f>
        <v>0</v>
      </c>
      <c r="H61" s="383">
        <f>IF(H60&lt;0,MIN(-H60,$B$53-SUM($G61:G61)),0)</f>
        <v>0</v>
      </c>
      <c r="I61" s="383">
        <f>IF(I60&lt;0,MIN(-I60,$B$53-SUM($G61:H61)),0)</f>
        <v>0</v>
      </c>
      <c r="J61" s="383">
        <f>IF(J60&lt;0,MIN(-J60,$B$53-SUM($G61:I61)),0)</f>
        <v>0</v>
      </c>
      <c r="K61" s="383">
        <f>IF(K60&lt;0,MIN(-K60,$B$53-SUM($G61:J61)),0)</f>
        <v>0</v>
      </c>
      <c r="L61" s="383">
        <f>IF(L60&lt;0,MIN(-L60,$B$53-SUM($G61:K61)),0)</f>
        <v>0</v>
      </c>
      <c r="M61" s="383">
        <f>IF(M60&lt;0,MIN(-M60,$B$53-SUM($G61:L61)),0)</f>
        <v>0</v>
      </c>
      <c r="N61" s="383">
        <f>IF(N60&lt;0,MIN(-N60,$B$53-SUM($G61:M61)),0)</f>
        <v>0</v>
      </c>
      <c r="O61" s="383">
        <f>IF(O60&lt;0,MIN(-O60,$B$53-SUM($G61:N61)),0)</f>
        <v>0</v>
      </c>
      <c r="P61" s="383">
        <f>IF(P60&lt;0,MIN(-P60,$B$53-SUM($G61:O61)),0)</f>
        <v>0</v>
      </c>
      <c r="Q61" s="383">
        <f>IF(Q60&lt;0,MIN(-Q60,$B$53-SUM($G61:P61)),0)</f>
        <v>0</v>
      </c>
      <c r="R61" s="383">
        <f>IF(R60&lt;0,MIN(-R60,$B$53-SUM($G61:Q61)),0)</f>
        <v>0</v>
      </c>
      <c r="S61" s="383">
        <f>IF(S60&lt;0,MIN(-S60,$B$53-SUM($G61:R61)),0)</f>
        <v>0</v>
      </c>
      <c r="T61" s="383">
        <f>IF(T60&lt;0,MIN(-T60,$B$53-SUM($G61:S61)),0)</f>
        <v>0</v>
      </c>
      <c r="U61" s="383">
        <f>IF(U60&lt;0,MIN(-U60,$B$53-SUM($G61:T61)),0)</f>
        <v>0</v>
      </c>
      <c r="V61" s="383">
        <f>IF(V60&lt;0,MIN(-V60,$B$53-SUM($G61:U61)),0)</f>
        <v>0</v>
      </c>
      <c r="W61" s="383">
        <f>IF(W60&lt;0,MIN(-W60,$B$53-SUM($G61:V61)),0)</f>
        <v>0</v>
      </c>
      <c r="X61" s="383">
        <f>IF(X60&lt;0,MIN(-X60,$B$53-SUM($G61:W61)),0)</f>
        <v>0</v>
      </c>
      <c r="Y61" s="383">
        <f>IF(Y60&lt;0,MIN(-Y60,$B$53-SUM($G61:X61)),0)</f>
        <v>0</v>
      </c>
      <c r="Z61" s="383">
        <f>IF(Z60&lt;0,MIN(-Z60,$B$53-SUM($G61:Y61)),0)</f>
        <v>0</v>
      </c>
      <c r="AA61" s="383">
        <f>IF(AA60&lt;0,MIN(-AA60,$B$53-SUM($G61:Z61)),0)</f>
        <v>0</v>
      </c>
      <c r="AB61" s="383">
        <f>IF(AB60&lt;0,MIN(-AB60,$B$53-SUM($G61:AA61)),0)</f>
        <v>0</v>
      </c>
      <c r="AC61" s="383">
        <f>IF(AC60&lt;0,MIN(-AC60,$B$53-SUM($G61:AB61)),0)</f>
        <v>0</v>
      </c>
      <c r="AD61" s="383">
        <f>IF(AD60&lt;0,MIN(-AD60,$B$53-SUM($G61:AC61)),0)</f>
        <v>0</v>
      </c>
      <c r="AE61" s="383">
        <f>IF(AE60&lt;0,MIN(-AE60,$B$53-SUM($G61:AD61)),0)</f>
        <v>0</v>
      </c>
      <c r="AF61" s="383">
        <f>IF(AF60&lt;0,MIN(-AF60,$B$53-SUM($G61:AE61)),0)</f>
        <v>0</v>
      </c>
      <c r="AG61" s="383">
        <f>IF(AG60&lt;0,MIN(-AG60,$B$53-SUM($G61:AF61)),0)</f>
        <v>0</v>
      </c>
      <c r="AH61" s="383">
        <f>IF(AH60&lt;0,MIN(-AH60,$B$53-SUM($G61:AG61)),0)</f>
        <v>0</v>
      </c>
      <c r="AI61" s="383">
        <f>IF(AI60&lt;0,MIN(-AI60,$B$53-SUM($G61:AH61)),0)</f>
        <v>0</v>
      </c>
      <c r="AJ61" s="383">
        <f>IF(AJ60&lt;0,MIN(-AJ60,$B$53-SUM($G61:AI61)),0)</f>
        <v>0</v>
      </c>
      <c r="AK61" s="383">
        <f>IF(AK60&lt;0,MIN(-AK60,$B$53-SUM($G61:AJ61)),0)</f>
        <v>0</v>
      </c>
      <c r="AM61" s="383">
        <f>SUM(T61:AK61)</f>
        <v>0</v>
      </c>
      <c r="AN61" s="383">
        <f>SUM(G61:S61,AM61)</f>
        <v>0</v>
      </c>
    </row>
    <row r="62" spans="1:42" x14ac:dyDescent="0.2">
      <c r="B62" s="1559" t="s">
        <v>652</v>
      </c>
      <c r="C62" s="1559"/>
      <c r="D62" s="1559"/>
      <c r="E62" s="1559"/>
      <c r="F62" s="1559"/>
      <c r="G62" s="383">
        <f>G55+G61+G59</f>
        <v>0</v>
      </c>
      <c r="H62" s="383">
        <f t="shared" ref="H62:U62" si="113">H55+H61+H59</f>
        <v>0</v>
      </c>
      <c r="I62" s="383">
        <f t="shared" si="113"/>
        <v>0</v>
      </c>
      <c r="J62" s="383">
        <f t="shared" si="113"/>
        <v>0</v>
      </c>
      <c r="K62" s="383">
        <f t="shared" si="113"/>
        <v>0</v>
      </c>
      <c r="L62" s="383">
        <f t="shared" si="113"/>
        <v>0</v>
      </c>
      <c r="M62" s="383">
        <f t="shared" si="113"/>
        <v>0</v>
      </c>
      <c r="N62" s="383">
        <f t="shared" si="113"/>
        <v>0</v>
      </c>
      <c r="O62" s="383">
        <f t="shared" si="113"/>
        <v>0</v>
      </c>
      <c r="P62" s="383">
        <f t="shared" si="113"/>
        <v>0</v>
      </c>
      <c r="Q62" s="383">
        <f t="shared" si="113"/>
        <v>0</v>
      </c>
      <c r="R62" s="383">
        <f t="shared" si="113"/>
        <v>0</v>
      </c>
      <c r="S62" s="383">
        <f t="shared" si="113"/>
        <v>0</v>
      </c>
      <c r="T62" s="383">
        <f t="shared" si="113"/>
        <v>0</v>
      </c>
      <c r="U62" s="383">
        <f t="shared" si="113"/>
        <v>0</v>
      </c>
      <c r="V62" s="383">
        <f t="shared" ref="V62:AK62" si="114">V55+V61+V59</f>
        <v>0</v>
      </c>
      <c r="W62" s="383">
        <f t="shared" si="114"/>
        <v>0</v>
      </c>
      <c r="X62" s="383">
        <f t="shared" si="114"/>
        <v>0</v>
      </c>
      <c r="Y62" s="383">
        <f t="shared" si="114"/>
        <v>0</v>
      </c>
      <c r="Z62" s="383">
        <f t="shared" si="114"/>
        <v>0</v>
      </c>
      <c r="AA62" s="383">
        <f t="shared" si="114"/>
        <v>0</v>
      </c>
      <c r="AB62" s="383">
        <f t="shared" si="114"/>
        <v>0</v>
      </c>
      <c r="AC62" s="383">
        <f t="shared" si="114"/>
        <v>0</v>
      </c>
      <c r="AD62" s="383">
        <f t="shared" si="114"/>
        <v>0</v>
      </c>
      <c r="AE62" s="383">
        <f t="shared" si="114"/>
        <v>0</v>
      </c>
      <c r="AF62" s="383">
        <f t="shared" si="114"/>
        <v>0</v>
      </c>
      <c r="AG62" s="383">
        <f t="shared" si="114"/>
        <v>0</v>
      </c>
      <c r="AH62" s="383">
        <f t="shared" si="114"/>
        <v>0</v>
      </c>
      <c r="AI62" s="383">
        <f t="shared" si="114"/>
        <v>0</v>
      </c>
      <c r="AJ62" s="383">
        <f t="shared" si="114"/>
        <v>0</v>
      </c>
      <c r="AK62" s="383">
        <f t="shared" si="114"/>
        <v>0</v>
      </c>
      <c r="AM62" s="383">
        <f>SUM($G$61:AK61)+SUM($G$59:AK59)</f>
        <v>0</v>
      </c>
      <c r="AN62" s="383">
        <f>AM62</f>
        <v>0</v>
      </c>
    </row>
    <row r="63" spans="1:42" x14ac:dyDescent="0.2">
      <c r="G63" s="402"/>
      <c r="H63" s="402"/>
      <c r="I63" s="402"/>
      <c r="J63" s="402"/>
      <c r="K63" s="402"/>
      <c r="L63" s="402"/>
      <c r="M63" s="402"/>
      <c r="N63" s="402"/>
      <c r="O63" s="402"/>
      <c r="P63" s="402"/>
      <c r="Q63" s="402"/>
      <c r="R63" s="402"/>
      <c r="S63" s="402"/>
      <c r="T63" s="402"/>
      <c r="U63" s="402"/>
      <c r="V63" s="402"/>
      <c r="W63" s="402"/>
      <c r="X63" s="402"/>
      <c r="Y63" s="402"/>
      <c r="Z63" s="402"/>
      <c r="AA63" s="402"/>
      <c r="AB63" s="402"/>
      <c r="AC63" s="402"/>
      <c r="AD63" s="402"/>
      <c r="AE63" s="402"/>
      <c r="AF63" s="402"/>
      <c r="AG63" s="402"/>
      <c r="AH63" s="402"/>
      <c r="AI63" s="402"/>
      <c r="AJ63" s="402"/>
      <c r="AK63" s="402"/>
      <c r="AM63" s="402"/>
      <c r="AN63" s="402"/>
    </row>
    <row r="64" spans="1:42" ht="12.75" customHeight="1" x14ac:dyDescent="0.2">
      <c r="B64" s="1560" t="s">
        <v>653</v>
      </c>
      <c r="C64" s="1560"/>
      <c r="D64" s="1560"/>
      <c r="E64" s="1560"/>
      <c r="F64" s="1560"/>
      <c r="G64" s="382" t="s">
        <v>612</v>
      </c>
      <c r="H64" s="382" t="s">
        <v>613</v>
      </c>
      <c r="I64" s="382" t="s">
        <v>614</v>
      </c>
      <c r="J64" s="382" t="s">
        <v>615</v>
      </c>
      <c r="K64" s="382" t="s">
        <v>616</v>
      </c>
      <c r="L64" s="382" t="s">
        <v>617</v>
      </c>
      <c r="M64" s="382" t="s">
        <v>618</v>
      </c>
      <c r="N64" s="382" t="s">
        <v>619</v>
      </c>
      <c r="O64" s="382" t="s">
        <v>620</v>
      </c>
      <c r="P64" s="382" t="s">
        <v>621</v>
      </c>
      <c r="Q64" s="382" t="s">
        <v>622</v>
      </c>
      <c r="R64" s="382" t="s">
        <v>623</v>
      </c>
      <c r="S64" s="382" t="s">
        <v>624</v>
      </c>
      <c r="T64" s="382" t="s">
        <v>625</v>
      </c>
      <c r="U64" s="382" t="s">
        <v>626</v>
      </c>
      <c r="V64" s="382" t="s">
        <v>627</v>
      </c>
      <c r="W64" s="382" t="s">
        <v>628</v>
      </c>
      <c r="X64" s="382" t="s">
        <v>629</v>
      </c>
      <c r="Y64" s="382" t="s">
        <v>630</v>
      </c>
      <c r="Z64" s="382" t="s">
        <v>631</v>
      </c>
      <c r="AA64" s="382" t="s">
        <v>632</v>
      </c>
      <c r="AB64" s="382" t="s">
        <v>633</v>
      </c>
      <c r="AC64" s="382" t="s">
        <v>634</v>
      </c>
      <c r="AD64" s="382" t="s">
        <v>635</v>
      </c>
      <c r="AE64" s="382" t="s">
        <v>1027</v>
      </c>
      <c r="AF64" s="382" t="s">
        <v>1028</v>
      </c>
      <c r="AG64" s="382" t="s">
        <v>1029</v>
      </c>
      <c r="AH64" s="382" t="s">
        <v>1030</v>
      </c>
      <c r="AI64" s="382" t="s">
        <v>1031</v>
      </c>
      <c r="AJ64" s="382" t="s">
        <v>1032</v>
      </c>
      <c r="AK64" s="382" t="s">
        <v>1033</v>
      </c>
      <c r="AM64" s="382" t="s">
        <v>637</v>
      </c>
      <c r="AN64" s="382" t="s">
        <v>36</v>
      </c>
    </row>
    <row r="65" spans="2:40" x14ac:dyDescent="0.2">
      <c r="B65" s="1567" t="s">
        <v>103</v>
      </c>
      <c r="C65" s="1568"/>
      <c r="D65" s="397" t="s">
        <v>44</v>
      </c>
      <c r="E65" s="398"/>
      <c r="F65" s="398"/>
      <c r="G65" s="382"/>
      <c r="H65" s="382"/>
      <c r="I65" s="382"/>
      <c r="J65" s="382"/>
      <c r="K65" s="382"/>
      <c r="L65" s="382"/>
      <c r="M65" s="382"/>
      <c r="N65" s="382"/>
      <c r="O65" s="382"/>
      <c r="P65" s="382"/>
      <c r="Q65" s="382"/>
      <c r="R65" s="382"/>
      <c r="S65" s="382"/>
      <c r="T65" s="382"/>
      <c r="U65" s="382"/>
      <c r="V65" s="382"/>
      <c r="W65" s="382"/>
      <c r="X65" s="382"/>
      <c r="Y65" s="382"/>
      <c r="Z65" s="382"/>
      <c r="AA65" s="382"/>
      <c r="AB65" s="382"/>
      <c r="AC65" s="382"/>
      <c r="AD65" s="382"/>
      <c r="AE65" s="382"/>
      <c r="AF65" s="382"/>
      <c r="AG65" s="382"/>
      <c r="AH65" s="382"/>
      <c r="AI65" s="382"/>
      <c r="AJ65" s="382"/>
      <c r="AK65" s="382"/>
      <c r="AM65" s="382"/>
      <c r="AN65" s="382"/>
    </row>
    <row r="66" spans="2:40" x14ac:dyDescent="0.2">
      <c r="B66" s="1569"/>
      <c r="C66" s="1570"/>
      <c r="D66" s="399"/>
      <c r="E66" s="398"/>
      <c r="F66" s="398"/>
      <c r="G66" s="382"/>
      <c r="H66" s="382"/>
      <c r="I66" s="382"/>
      <c r="J66" s="382"/>
      <c r="K66" s="382"/>
      <c r="L66" s="382"/>
      <c r="M66" s="382"/>
      <c r="N66" s="382"/>
      <c r="O66" s="382"/>
      <c r="P66" s="382"/>
      <c r="Q66" s="382"/>
      <c r="R66" s="382"/>
      <c r="S66" s="382"/>
      <c r="T66" s="382"/>
      <c r="U66" s="382"/>
      <c r="V66" s="382"/>
      <c r="W66" s="382"/>
      <c r="X66" s="382"/>
      <c r="Y66" s="382"/>
      <c r="Z66" s="382"/>
      <c r="AA66" s="382"/>
      <c r="AB66" s="382"/>
      <c r="AC66" s="382"/>
      <c r="AD66" s="382"/>
      <c r="AE66" s="382"/>
      <c r="AF66" s="382"/>
      <c r="AG66" s="382"/>
      <c r="AH66" s="382"/>
      <c r="AI66" s="382"/>
      <c r="AJ66" s="382"/>
      <c r="AK66" s="382"/>
      <c r="AM66" s="382"/>
      <c r="AN66" s="382"/>
    </row>
    <row r="67" spans="2:40" x14ac:dyDescent="0.2">
      <c r="B67" s="403"/>
      <c r="C67" s="404"/>
      <c r="D67" s="399"/>
      <c r="E67" s="398"/>
      <c r="F67" s="398"/>
      <c r="G67" s="382"/>
      <c r="H67" s="382"/>
      <c r="I67" s="382"/>
      <c r="J67" s="382"/>
      <c r="K67" s="382"/>
      <c r="L67" s="382"/>
      <c r="M67" s="382"/>
      <c r="N67" s="382"/>
      <c r="O67" s="382"/>
      <c r="P67" s="382"/>
      <c r="Q67" s="382"/>
      <c r="R67" s="382"/>
      <c r="S67" s="382"/>
      <c r="T67" s="382"/>
      <c r="U67" s="382"/>
      <c r="V67" s="382"/>
      <c r="W67" s="382"/>
      <c r="X67" s="382"/>
      <c r="Y67" s="382"/>
      <c r="Z67" s="382"/>
      <c r="AA67" s="382"/>
      <c r="AB67" s="382"/>
      <c r="AC67" s="382"/>
      <c r="AD67" s="382"/>
      <c r="AE67" s="382"/>
      <c r="AF67" s="382"/>
      <c r="AG67" s="382"/>
      <c r="AH67" s="382"/>
      <c r="AI67" s="382"/>
      <c r="AJ67" s="382"/>
      <c r="AK67" s="382"/>
      <c r="AM67" s="382"/>
      <c r="AN67" s="382"/>
    </row>
    <row r="68" spans="2:40" x14ac:dyDescent="0.2">
      <c r="B68" s="1559" t="s">
        <v>646</v>
      </c>
      <c r="C68" s="1559"/>
      <c r="D68" s="1559"/>
      <c r="E68" s="1559"/>
      <c r="F68" s="1559"/>
      <c r="G68" s="383">
        <v>0</v>
      </c>
      <c r="H68" s="383">
        <f>G75</f>
        <v>0</v>
      </c>
      <c r="I68" s="383">
        <f t="shared" ref="I68:U68" si="115">H75</f>
        <v>0</v>
      </c>
      <c r="J68" s="383">
        <f t="shared" si="115"/>
        <v>0</v>
      </c>
      <c r="K68" s="383">
        <f t="shared" si="115"/>
        <v>0</v>
      </c>
      <c r="L68" s="383">
        <f t="shared" si="115"/>
        <v>0</v>
      </c>
      <c r="M68" s="383">
        <f t="shared" si="115"/>
        <v>0</v>
      </c>
      <c r="N68" s="383">
        <f t="shared" si="115"/>
        <v>0</v>
      </c>
      <c r="O68" s="383">
        <f t="shared" si="115"/>
        <v>0</v>
      </c>
      <c r="P68" s="383">
        <f t="shared" si="115"/>
        <v>0</v>
      </c>
      <c r="Q68" s="383">
        <f t="shared" si="115"/>
        <v>0</v>
      </c>
      <c r="R68" s="383">
        <f t="shared" si="115"/>
        <v>0</v>
      </c>
      <c r="S68" s="383">
        <f t="shared" si="115"/>
        <v>0</v>
      </c>
      <c r="T68" s="383">
        <f t="shared" si="115"/>
        <v>0</v>
      </c>
      <c r="U68" s="383">
        <f t="shared" si="115"/>
        <v>0</v>
      </c>
      <c r="V68" s="383">
        <f t="shared" ref="V68" si="116">U75</f>
        <v>0</v>
      </c>
      <c r="W68" s="383">
        <f t="shared" ref="W68" si="117">V75</f>
        <v>0</v>
      </c>
      <c r="X68" s="383">
        <f t="shared" ref="X68" si="118">W75</f>
        <v>0</v>
      </c>
      <c r="Y68" s="383">
        <f t="shared" ref="Y68" si="119">X75</f>
        <v>0</v>
      </c>
      <c r="Z68" s="383">
        <f t="shared" ref="Z68" si="120">Y75</f>
        <v>0</v>
      </c>
      <c r="AA68" s="383">
        <f t="shared" ref="AA68" si="121">Z75</f>
        <v>0</v>
      </c>
      <c r="AB68" s="383">
        <f t="shared" ref="AB68" si="122">AA75</f>
        <v>0</v>
      </c>
      <c r="AC68" s="383">
        <f t="shared" ref="AC68" si="123">AB75</f>
        <v>0</v>
      </c>
      <c r="AD68" s="383">
        <f t="shared" ref="AD68" si="124">AC75</f>
        <v>0</v>
      </c>
      <c r="AE68" s="383">
        <f t="shared" ref="AE68" si="125">AD75</f>
        <v>0</v>
      </c>
      <c r="AF68" s="383">
        <f t="shared" ref="AF68" si="126">AE75</f>
        <v>0</v>
      </c>
      <c r="AG68" s="383">
        <f t="shared" ref="AG68" si="127">AF75</f>
        <v>0</v>
      </c>
      <c r="AH68" s="383">
        <f t="shared" ref="AH68" si="128">AG75</f>
        <v>0</v>
      </c>
      <c r="AI68" s="383">
        <f t="shared" ref="AI68" si="129">AH75</f>
        <v>0</v>
      </c>
      <c r="AJ68" s="383">
        <f t="shared" ref="AJ68" si="130">AI75</f>
        <v>0</v>
      </c>
      <c r="AK68" s="383">
        <f t="shared" ref="AK68" si="131">AJ75</f>
        <v>0</v>
      </c>
      <c r="AL68" s="383"/>
      <c r="AM68" s="383"/>
      <c r="AN68" s="383"/>
    </row>
    <row r="69" spans="2:40" x14ac:dyDescent="0.2">
      <c r="B69" s="1559" t="s">
        <v>655</v>
      </c>
      <c r="C69" s="1559"/>
      <c r="D69" s="1559"/>
      <c r="E69" s="1559"/>
      <c r="F69" s="1559"/>
      <c r="G69" s="383">
        <f>G56+G59+G61</f>
        <v>0</v>
      </c>
      <c r="H69" s="383">
        <f t="shared" ref="H69:U69" si="132">H56+H61+H59</f>
        <v>0</v>
      </c>
      <c r="I69" s="383">
        <f t="shared" si="132"/>
        <v>0</v>
      </c>
      <c r="J69" s="383">
        <f t="shared" si="132"/>
        <v>0</v>
      </c>
      <c r="K69" s="383">
        <f t="shared" si="132"/>
        <v>0</v>
      </c>
      <c r="L69" s="383">
        <f t="shared" si="132"/>
        <v>0</v>
      </c>
      <c r="M69" s="383">
        <f t="shared" si="132"/>
        <v>0</v>
      </c>
      <c r="N69" s="383">
        <f t="shared" si="132"/>
        <v>0</v>
      </c>
      <c r="O69" s="383">
        <f t="shared" si="132"/>
        <v>0</v>
      </c>
      <c r="P69" s="383">
        <f t="shared" si="132"/>
        <v>0</v>
      </c>
      <c r="Q69" s="383">
        <f t="shared" si="132"/>
        <v>0</v>
      </c>
      <c r="R69" s="383">
        <f t="shared" si="132"/>
        <v>0</v>
      </c>
      <c r="S69" s="383">
        <f t="shared" si="132"/>
        <v>0</v>
      </c>
      <c r="T69" s="383">
        <f t="shared" si="132"/>
        <v>0</v>
      </c>
      <c r="U69" s="383">
        <f t="shared" si="132"/>
        <v>0</v>
      </c>
      <c r="V69" s="383">
        <f t="shared" ref="V69:AK69" si="133">V56+V61+V59</f>
        <v>0</v>
      </c>
      <c r="W69" s="383">
        <f t="shared" si="133"/>
        <v>0</v>
      </c>
      <c r="X69" s="383">
        <f t="shared" si="133"/>
        <v>0</v>
      </c>
      <c r="Y69" s="383">
        <f t="shared" si="133"/>
        <v>0</v>
      </c>
      <c r="Z69" s="383">
        <f t="shared" si="133"/>
        <v>0</v>
      </c>
      <c r="AA69" s="383">
        <f t="shared" si="133"/>
        <v>0</v>
      </c>
      <c r="AB69" s="383">
        <f t="shared" si="133"/>
        <v>0</v>
      </c>
      <c r="AC69" s="383">
        <f t="shared" si="133"/>
        <v>0</v>
      </c>
      <c r="AD69" s="383">
        <f t="shared" si="133"/>
        <v>0</v>
      </c>
      <c r="AE69" s="383">
        <f t="shared" si="133"/>
        <v>0</v>
      </c>
      <c r="AF69" s="383">
        <f t="shared" si="133"/>
        <v>0</v>
      </c>
      <c r="AG69" s="383">
        <f t="shared" si="133"/>
        <v>0</v>
      </c>
      <c r="AH69" s="383">
        <f t="shared" si="133"/>
        <v>0</v>
      </c>
      <c r="AI69" s="383">
        <f t="shared" si="133"/>
        <v>0</v>
      </c>
      <c r="AJ69" s="383">
        <f t="shared" si="133"/>
        <v>0</v>
      </c>
      <c r="AK69" s="383">
        <f t="shared" si="133"/>
        <v>0</v>
      </c>
      <c r="AM69" s="383">
        <f>AK69</f>
        <v>0</v>
      </c>
      <c r="AN69" s="383">
        <f>AM69</f>
        <v>0</v>
      </c>
    </row>
    <row r="70" spans="2:40" x14ac:dyDescent="0.2">
      <c r="B70" s="1561" t="s">
        <v>647</v>
      </c>
      <c r="C70" s="1562"/>
      <c r="D70" s="1562"/>
      <c r="E70" s="1562"/>
      <c r="F70" s="1563"/>
      <c r="G70" s="383">
        <f>G57</f>
        <v>0</v>
      </c>
      <c r="H70" s="383">
        <f t="shared" ref="H70:U70" si="134">H57</f>
        <v>0</v>
      </c>
      <c r="I70" s="383">
        <f t="shared" si="134"/>
        <v>0</v>
      </c>
      <c r="J70" s="383">
        <f t="shared" si="134"/>
        <v>0</v>
      </c>
      <c r="K70" s="383">
        <f t="shared" si="134"/>
        <v>0</v>
      </c>
      <c r="L70" s="383">
        <f t="shared" si="134"/>
        <v>0</v>
      </c>
      <c r="M70" s="383">
        <f t="shared" si="134"/>
        <v>0</v>
      </c>
      <c r="N70" s="383">
        <f t="shared" si="134"/>
        <v>0</v>
      </c>
      <c r="O70" s="383">
        <f t="shared" si="134"/>
        <v>0</v>
      </c>
      <c r="P70" s="383">
        <f t="shared" si="134"/>
        <v>0</v>
      </c>
      <c r="Q70" s="383">
        <f t="shared" si="134"/>
        <v>0</v>
      </c>
      <c r="R70" s="383">
        <f t="shared" si="134"/>
        <v>0</v>
      </c>
      <c r="S70" s="383">
        <f t="shared" si="134"/>
        <v>0</v>
      </c>
      <c r="T70" s="383">
        <f t="shared" si="134"/>
        <v>0</v>
      </c>
      <c r="U70" s="383">
        <f t="shared" si="134"/>
        <v>0</v>
      </c>
      <c r="V70" s="383">
        <f t="shared" ref="V70:AK70" si="135">V57</f>
        <v>0</v>
      </c>
      <c r="W70" s="383">
        <f t="shared" si="135"/>
        <v>0</v>
      </c>
      <c r="X70" s="383">
        <f t="shared" si="135"/>
        <v>0</v>
      </c>
      <c r="Y70" s="383">
        <f t="shared" si="135"/>
        <v>0</v>
      </c>
      <c r="Z70" s="383">
        <f t="shared" si="135"/>
        <v>0</v>
      </c>
      <c r="AA70" s="383">
        <f t="shared" si="135"/>
        <v>0</v>
      </c>
      <c r="AB70" s="383">
        <f t="shared" si="135"/>
        <v>0</v>
      </c>
      <c r="AC70" s="383">
        <f t="shared" si="135"/>
        <v>0</v>
      </c>
      <c r="AD70" s="383">
        <f t="shared" si="135"/>
        <v>0</v>
      </c>
      <c r="AE70" s="383">
        <f t="shared" si="135"/>
        <v>0</v>
      </c>
      <c r="AF70" s="383">
        <f t="shared" si="135"/>
        <v>0</v>
      </c>
      <c r="AG70" s="383">
        <f t="shared" si="135"/>
        <v>0</v>
      </c>
      <c r="AH70" s="383">
        <f t="shared" si="135"/>
        <v>0</v>
      </c>
      <c r="AI70" s="383">
        <f t="shared" si="135"/>
        <v>0</v>
      </c>
      <c r="AJ70" s="383">
        <f t="shared" si="135"/>
        <v>0</v>
      </c>
      <c r="AK70" s="383">
        <f t="shared" si="135"/>
        <v>0</v>
      </c>
      <c r="AM70" s="383">
        <f>AK70</f>
        <v>0</v>
      </c>
      <c r="AN70" s="383">
        <f>SUM(G70:S70,AM70)</f>
        <v>0</v>
      </c>
    </row>
    <row r="71" spans="2:40" x14ac:dyDescent="0.2">
      <c r="B71" s="1559" t="s">
        <v>648</v>
      </c>
      <c r="C71" s="1559"/>
      <c r="D71" s="1559"/>
      <c r="E71" s="1559"/>
      <c r="F71" s="1559"/>
      <c r="G71" s="383">
        <f>SUM(G69:G70)</f>
        <v>0</v>
      </c>
      <c r="H71" s="383">
        <f t="shared" ref="H71:U71" si="136">SUM(H69:H70)</f>
        <v>0</v>
      </c>
      <c r="I71" s="383">
        <f t="shared" si="136"/>
        <v>0</v>
      </c>
      <c r="J71" s="383">
        <f t="shared" si="136"/>
        <v>0</v>
      </c>
      <c r="K71" s="383">
        <f t="shared" si="136"/>
        <v>0</v>
      </c>
      <c r="L71" s="383">
        <f t="shared" si="136"/>
        <v>0</v>
      </c>
      <c r="M71" s="383">
        <f t="shared" si="136"/>
        <v>0</v>
      </c>
      <c r="N71" s="383">
        <f t="shared" si="136"/>
        <v>0</v>
      </c>
      <c r="O71" s="383">
        <f t="shared" si="136"/>
        <v>0</v>
      </c>
      <c r="P71" s="383">
        <f t="shared" si="136"/>
        <v>0</v>
      </c>
      <c r="Q71" s="383">
        <f t="shared" si="136"/>
        <v>0</v>
      </c>
      <c r="R71" s="383">
        <f t="shared" si="136"/>
        <v>0</v>
      </c>
      <c r="S71" s="383">
        <f>SUM(S69:S70)</f>
        <v>0</v>
      </c>
      <c r="T71" s="383">
        <f t="shared" si="136"/>
        <v>0</v>
      </c>
      <c r="U71" s="383">
        <f t="shared" si="136"/>
        <v>0</v>
      </c>
      <c r="V71" s="383">
        <f t="shared" ref="V71:AK71" si="137">SUM(V69:V70)</f>
        <v>0</v>
      </c>
      <c r="W71" s="383">
        <f t="shared" si="137"/>
        <v>0</v>
      </c>
      <c r="X71" s="383">
        <f t="shared" si="137"/>
        <v>0</v>
      </c>
      <c r="Y71" s="383">
        <f t="shared" si="137"/>
        <v>0</v>
      </c>
      <c r="Z71" s="383">
        <f t="shared" si="137"/>
        <v>0</v>
      </c>
      <c r="AA71" s="383">
        <f t="shared" si="137"/>
        <v>0</v>
      </c>
      <c r="AB71" s="383">
        <f t="shared" si="137"/>
        <v>0</v>
      </c>
      <c r="AC71" s="383">
        <f t="shared" si="137"/>
        <v>0</v>
      </c>
      <c r="AD71" s="383">
        <f t="shared" si="137"/>
        <v>0</v>
      </c>
      <c r="AE71" s="383">
        <f t="shared" si="137"/>
        <v>0</v>
      </c>
      <c r="AF71" s="383">
        <f t="shared" si="137"/>
        <v>0</v>
      </c>
      <c r="AG71" s="383">
        <f t="shared" si="137"/>
        <v>0</v>
      </c>
      <c r="AH71" s="383">
        <f t="shared" si="137"/>
        <v>0</v>
      </c>
      <c r="AI71" s="383">
        <f t="shared" si="137"/>
        <v>0</v>
      </c>
      <c r="AJ71" s="383">
        <f t="shared" si="137"/>
        <v>0</v>
      </c>
      <c r="AK71" s="383">
        <f t="shared" si="137"/>
        <v>0</v>
      </c>
      <c r="AM71" s="383">
        <f t="shared" ref="AM71" si="138">SUM(AM69:AM70)</f>
        <v>0</v>
      </c>
      <c r="AN71" s="383">
        <f>AM71</f>
        <v>0</v>
      </c>
    </row>
    <row r="72" spans="2:40" x14ac:dyDescent="0.2">
      <c r="B72" s="1574" t="s">
        <v>649</v>
      </c>
      <c r="C72" s="1574"/>
      <c r="D72" s="1574"/>
      <c r="E72" s="1574"/>
      <c r="F72" s="1574"/>
      <c r="G72" s="401"/>
      <c r="H72" s="401"/>
      <c r="I72" s="401"/>
      <c r="J72" s="401"/>
      <c r="K72" s="401"/>
      <c r="L72" s="401"/>
      <c r="M72" s="401"/>
      <c r="N72" s="401"/>
      <c r="O72" s="401"/>
      <c r="P72" s="401"/>
      <c r="Q72" s="401"/>
      <c r="R72" s="401"/>
      <c r="S72" s="401"/>
      <c r="T72" s="401"/>
      <c r="U72" s="401"/>
      <c r="V72" s="401"/>
      <c r="W72" s="401"/>
      <c r="X72" s="401"/>
      <c r="Y72" s="401"/>
      <c r="Z72" s="401"/>
      <c r="AA72" s="401"/>
      <c r="AB72" s="401"/>
      <c r="AC72" s="401"/>
      <c r="AD72" s="401"/>
      <c r="AE72" s="401"/>
      <c r="AF72" s="401"/>
      <c r="AG72" s="401"/>
      <c r="AH72" s="401"/>
      <c r="AI72" s="401"/>
      <c r="AJ72" s="401"/>
      <c r="AK72" s="401"/>
      <c r="AM72" s="383">
        <f>SUM(T72:AK72)</f>
        <v>0</v>
      </c>
      <c r="AN72" s="383">
        <f>SUM(G72:S72,AM72)</f>
        <v>0</v>
      </c>
    </row>
    <row r="73" spans="2:40" x14ac:dyDescent="0.2">
      <c r="B73" s="1559" t="s">
        <v>650</v>
      </c>
      <c r="C73" s="1559"/>
      <c r="D73" s="1559"/>
      <c r="E73" s="1559"/>
      <c r="F73" s="1559"/>
      <c r="G73" s="383">
        <f t="shared" ref="G73:U73" si="139">SUM(G71:G72)</f>
        <v>0</v>
      </c>
      <c r="H73" s="383">
        <f t="shared" si="139"/>
        <v>0</v>
      </c>
      <c r="I73" s="383">
        <f t="shared" si="139"/>
        <v>0</v>
      </c>
      <c r="J73" s="383">
        <f t="shared" si="139"/>
        <v>0</v>
      </c>
      <c r="K73" s="383">
        <f t="shared" si="139"/>
        <v>0</v>
      </c>
      <c r="L73" s="383">
        <f t="shared" si="139"/>
        <v>0</v>
      </c>
      <c r="M73" s="383">
        <f t="shared" si="139"/>
        <v>0</v>
      </c>
      <c r="N73" s="383">
        <f t="shared" si="139"/>
        <v>0</v>
      </c>
      <c r="O73" s="383">
        <f t="shared" si="139"/>
        <v>0</v>
      </c>
      <c r="P73" s="383">
        <f t="shared" si="139"/>
        <v>0</v>
      </c>
      <c r="Q73" s="383">
        <f t="shared" si="139"/>
        <v>0</v>
      </c>
      <c r="R73" s="383">
        <f t="shared" si="139"/>
        <v>0</v>
      </c>
      <c r="S73" s="383">
        <f t="shared" si="139"/>
        <v>0</v>
      </c>
      <c r="T73" s="383">
        <f t="shared" si="139"/>
        <v>0</v>
      </c>
      <c r="U73" s="383">
        <f t="shared" si="139"/>
        <v>0</v>
      </c>
      <c r="V73" s="383">
        <f t="shared" ref="V73:AK73" si="140">SUM(V71:V72)</f>
        <v>0</v>
      </c>
      <c r="W73" s="383">
        <f t="shared" si="140"/>
        <v>0</v>
      </c>
      <c r="X73" s="383">
        <f t="shared" si="140"/>
        <v>0</v>
      </c>
      <c r="Y73" s="383">
        <f t="shared" si="140"/>
        <v>0</v>
      </c>
      <c r="Z73" s="383">
        <f t="shared" si="140"/>
        <v>0</v>
      </c>
      <c r="AA73" s="383">
        <f t="shared" si="140"/>
        <v>0</v>
      </c>
      <c r="AB73" s="383">
        <f t="shared" si="140"/>
        <v>0</v>
      </c>
      <c r="AC73" s="383">
        <f t="shared" si="140"/>
        <v>0</v>
      </c>
      <c r="AD73" s="383">
        <f t="shared" si="140"/>
        <v>0</v>
      </c>
      <c r="AE73" s="383">
        <f t="shared" si="140"/>
        <v>0</v>
      </c>
      <c r="AF73" s="383">
        <f t="shared" si="140"/>
        <v>0</v>
      </c>
      <c r="AG73" s="383">
        <f t="shared" si="140"/>
        <v>0</v>
      </c>
      <c r="AH73" s="383">
        <f t="shared" si="140"/>
        <v>0</v>
      </c>
      <c r="AI73" s="383">
        <f t="shared" si="140"/>
        <v>0</v>
      </c>
      <c r="AJ73" s="383">
        <f t="shared" si="140"/>
        <v>0</v>
      </c>
      <c r="AK73" s="383">
        <f t="shared" si="140"/>
        <v>0</v>
      </c>
      <c r="AM73" s="383">
        <f>AK73</f>
        <v>0</v>
      </c>
      <c r="AN73" s="383">
        <f>AM73</f>
        <v>0</v>
      </c>
    </row>
    <row r="74" spans="2:40" x14ac:dyDescent="0.2">
      <c r="B74" s="1559" t="s">
        <v>651</v>
      </c>
      <c r="C74" s="1559"/>
      <c r="D74" s="1559"/>
      <c r="E74" s="1559"/>
      <c r="F74" s="1559"/>
      <c r="G74" s="383">
        <f t="shared" ref="G74:U74" si="141">IF(G73&lt;0,MIN(-G73,$B$66-G69),0)</f>
        <v>0</v>
      </c>
      <c r="H74" s="383">
        <f t="shared" si="141"/>
        <v>0</v>
      </c>
      <c r="I74" s="383">
        <f t="shared" si="141"/>
        <v>0</v>
      </c>
      <c r="J74" s="383">
        <f t="shared" si="141"/>
        <v>0</v>
      </c>
      <c r="K74" s="383">
        <f t="shared" si="141"/>
        <v>0</v>
      </c>
      <c r="L74" s="383">
        <f t="shared" si="141"/>
        <v>0</v>
      </c>
      <c r="M74" s="383">
        <f t="shared" si="141"/>
        <v>0</v>
      </c>
      <c r="N74" s="383">
        <f t="shared" si="141"/>
        <v>0</v>
      </c>
      <c r="O74" s="383">
        <f t="shared" si="141"/>
        <v>0</v>
      </c>
      <c r="P74" s="383">
        <f t="shared" si="141"/>
        <v>0</v>
      </c>
      <c r="Q74" s="383">
        <f t="shared" si="141"/>
        <v>0</v>
      </c>
      <c r="R74" s="383">
        <f t="shared" si="141"/>
        <v>0</v>
      </c>
      <c r="S74" s="383">
        <f t="shared" si="141"/>
        <v>0</v>
      </c>
      <c r="T74" s="383">
        <f t="shared" si="141"/>
        <v>0</v>
      </c>
      <c r="U74" s="383">
        <f t="shared" si="141"/>
        <v>0</v>
      </c>
      <c r="V74" s="383">
        <f t="shared" ref="V74:AK74" si="142">IF(V73&lt;0,MIN(-V73,$B$66-V69),0)</f>
        <v>0</v>
      </c>
      <c r="W74" s="383">
        <f t="shared" si="142"/>
        <v>0</v>
      </c>
      <c r="X74" s="383">
        <f t="shared" si="142"/>
        <v>0</v>
      </c>
      <c r="Y74" s="383">
        <f t="shared" si="142"/>
        <v>0</v>
      </c>
      <c r="Z74" s="383">
        <f t="shared" si="142"/>
        <v>0</v>
      </c>
      <c r="AA74" s="383">
        <f t="shared" si="142"/>
        <v>0</v>
      </c>
      <c r="AB74" s="383">
        <f t="shared" si="142"/>
        <v>0</v>
      </c>
      <c r="AC74" s="383">
        <f t="shared" si="142"/>
        <v>0</v>
      </c>
      <c r="AD74" s="383">
        <f t="shared" si="142"/>
        <v>0</v>
      </c>
      <c r="AE74" s="383">
        <f t="shared" si="142"/>
        <v>0</v>
      </c>
      <c r="AF74" s="383">
        <f t="shared" si="142"/>
        <v>0</v>
      </c>
      <c r="AG74" s="383">
        <f t="shared" si="142"/>
        <v>0</v>
      </c>
      <c r="AH74" s="383">
        <f t="shared" si="142"/>
        <v>0</v>
      </c>
      <c r="AI74" s="383">
        <f t="shared" si="142"/>
        <v>0</v>
      </c>
      <c r="AJ74" s="383">
        <f t="shared" si="142"/>
        <v>0</v>
      </c>
      <c r="AK74" s="383">
        <f t="shared" si="142"/>
        <v>0</v>
      </c>
      <c r="AM74" s="383">
        <f>SUM(T74:AK74)</f>
        <v>0</v>
      </c>
      <c r="AN74" s="383">
        <f>SUM(G74:S74,AM74)</f>
        <v>0</v>
      </c>
    </row>
    <row r="75" spans="2:40" x14ac:dyDescent="0.2">
      <c r="B75" s="1559" t="s">
        <v>652</v>
      </c>
      <c r="C75" s="1559"/>
      <c r="D75" s="1559"/>
      <c r="E75" s="1559"/>
      <c r="F75" s="1559"/>
      <c r="G75" s="383">
        <f t="shared" ref="G75:U75" si="143">G68+G74+G72</f>
        <v>0</v>
      </c>
      <c r="H75" s="383">
        <f t="shared" si="143"/>
        <v>0</v>
      </c>
      <c r="I75" s="383">
        <f t="shared" si="143"/>
        <v>0</v>
      </c>
      <c r="J75" s="383">
        <f t="shared" si="143"/>
        <v>0</v>
      </c>
      <c r="K75" s="383">
        <f t="shared" si="143"/>
        <v>0</v>
      </c>
      <c r="L75" s="383">
        <f t="shared" si="143"/>
        <v>0</v>
      </c>
      <c r="M75" s="383">
        <f t="shared" si="143"/>
        <v>0</v>
      </c>
      <c r="N75" s="383">
        <f t="shared" si="143"/>
        <v>0</v>
      </c>
      <c r="O75" s="383">
        <f t="shared" si="143"/>
        <v>0</v>
      </c>
      <c r="P75" s="383">
        <f t="shared" si="143"/>
        <v>0</v>
      </c>
      <c r="Q75" s="383">
        <f t="shared" si="143"/>
        <v>0</v>
      </c>
      <c r="R75" s="383">
        <f t="shared" si="143"/>
        <v>0</v>
      </c>
      <c r="S75" s="383">
        <f t="shared" si="143"/>
        <v>0</v>
      </c>
      <c r="T75" s="383">
        <f t="shared" si="143"/>
        <v>0</v>
      </c>
      <c r="U75" s="383">
        <f t="shared" si="143"/>
        <v>0</v>
      </c>
      <c r="V75" s="383">
        <f t="shared" ref="V75:AK75" si="144">V68+V74+V72</f>
        <v>0</v>
      </c>
      <c r="W75" s="383">
        <f t="shared" si="144"/>
        <v>0</v>
      </c>
      <c r="X75" s="383">
        <f t="shared" si="144"/>
        <v>0</v>
      </c>
      <c r="Y75" s="383">
        <f t="shared" si="144"/>
        <v>0</v>
      </c>
      <c r="Z75" s="383">
        <f t="shared" si="144"/>
        <v>0</v>
      </c>
      <c r="AA75" s="383">
        <f t="shared" si="144"/>
        <v>0</v>
      </c>
      <c r="AB75" s="383">
        <f t="shared" si="144"/>
        <v>0</v>
      </c>
      <c r="AC75" s="383">
        <f t="shared" si="144"/>
        <v>0</v>
      </c>
      <c r="AD75" s="383">
        <f t="shared" si="144"/>
        <v>0</v>
      </c>
      <c r="AE75" s="383">
        <f t="shared" si="144"/>
        <v>0</v>
      </c>
      <c r="AF75" s="383">
        <f t="shared" si="144"/>
        <v>0</v>
      </c>
      <c r="AG75" s="383">
        <f t="shared" si="144"/>
        <v>0</v>
      </c>
      <c r="AH75" s="383">
        <f t="shared" si="144"/>
        <v>0</v>
      </c>
      <c r="AI75" s="383">
        <f t="shared" si="144"/>
        <v>0</v>
      </c>
      <c r="AJ75" s="383">
        <f t="shared" si="144"/>
        <v>0</v>
      </c>
      <c r="AK75" s="383">
        <f t="shared" si="144"/>
        <v>0</v>
      </c>
      <c r="AM75" s="383">
        <f>SUM($G$61:AK74)+SUM($G$59:AK72)</f>
        <v>0</v>
      </c>
      <c r="AN75" s="383">
        <f>AM75</f>
        <v>0</v>
      </c>
    </row>
    <row r="76" spans="2:40" x14ac:dyDescent="0.2">
      <c r="AK76" s="402"/>
    </row>
    <row r="77" spans="2:40" ht="15" x14ac:dyDescent="0.25">
      <c r="R77"/>
      <c r="S77"/>
      <c r="T77"/>
      <c r="U77"/>
      <c r="V77"/>
      <c r="W77"/>
      <c r="X77"/>
      <c r="Y77"/>
      <c r="Z77"/>
      <c r="AA77"/>
      <c r="AB77"/>
      <c r="AC77" s="121"/>
      <c r="AD77"/>
      <c r="AE77"/>
      <c r="AF77"/>
      <c r="AG77"/>
      <c r="AH77"/>
      <c r="AI77"/>
      <c r="AJ77"/>
      <c r="AK77"/>
    </row>
    <row r="78" spans="2:40" ht="15" customHeight="1" x14ac:dyDescent="0.25">
      <c r="R78"/>
      <c r="S78"/>
      <c r="T78"/>
      <c r="U78"/>
      <c r="V78"/>
      <c r="W78"/>
      <c r="X78"/>
      <c r="Y78"/>
      <c r="Z78"/>
      <c r="AA78"/>
      <c r="AB78"/>
      <c r="AC78"/>
      <c r="AD78"/>
      <c r="AE78"/>
      <c r="AF78"/>
      <c r="AG78"/>
      <c r="AH78"/>
      <c r="AI78"/>
      <c r="AJ78"/>
      <c r="AK78"/>
    </row>
    <row r="79" spans="2:40" ht="15" customHeight="1" x14ac:dyDescent="0.25">
      <c r="R79"/>
      <c r="S79"/>
      <c r="T79"/>
      <c r="U79"/>
      <c r="V79"/>
      <c r="W79"/>
      <c r="X79"/>
      <c r="Y79"/>
      <c r="Z79"/>
      <c r="AA79"/>
      <c r="AB79"/>
      <c r="AC79"/>
      <c r="AD79"/>
      <c r="AE79"/>
      <c r="AF79"/>
      <c r="AG79"/>
      <c r="AH79"/>
      <c r="AI79"/>
      <c r="AJ79"/>
      <c r="AK79"/>
    </row>
    <row r="80" spans="2:40" ht="15" x14ac:dyDescent="0.25">
      <c r="R80"/>
      <c r="S80"/>
      <c r="T80"/>
      <c r="U80"/>
      <c r="V80"/>
      <c r="W80"/>
      <c r="X80"/>
      <c r="Y80"/>
      <c r="Z80"/>
      <c r="AA80"/>
      <c r="AB80"/>
      <c r="AC80"/>
      <c r="AD80"/>
      <c r="AE80"/>
      <c r="AF80"/>
      <c r="AG80"/>
      <c r="AH80"/>
      <c r="AI80"/>
      <c r="AJ80"/>
      <c r="AK80"/>
    </row>
    <row r="81" spans="18:37" ht="15" customHeight="1" x14ac:dyDescent="0.25">
      <c r="R81"/>
      <c r="S81"/>
      <c r="T81"/>
      <c r="U81"/>
      <c r="V81"/>
      <c r="W81"/>
      <c r="X81"/>
      <c r="Y81"/>
      <c r="Z81"/>
      <c r="AA81"/>
      <c r="AB81"/>
      <c r="AC81"/>
      <c r="AD81"/>
      <c r="AE81"/>
      <c r="AF81"/>
      <c r="AG81"/>
      <c r="AH81"/>
      <c r="AI81"/>
      <c r="AJ81"/>
      <c r="AK81"/>
    </row>
    <row r="82" spans="18:37" ht="15" customHeight="1" x14ac:dyDescent="0.25">
      <c r="R82"/>
      <c r="S82"/>
      <c r="T82"/>
      <c r="U82"/>
      <c r="V82"/>
      <c r="W82"/>
      <c r="X82"/>
      <c r="Y82"/>
      <c r="Z82"/>
      <c r="AA82"/>
      <c r="AB82"/>
      <c r="AC82"/>
      <c r="AD82"/>
      <c r="AE82"/>
      <c r="AF82"/>
      <c r="AG82"/>
      <c r="AH82"/>
      <c r="AI82"/>
      <c r="AJ82"/>
      <c r="AK82"/>
    </row>
    <row r="83" spans="18:37" ht="15" customHeight="1" x14ac:dyDescent="0.25">
      <c r="R83"/>
      <c r="S83"/>
      <c r="T83"/>
      <c r="U83"/>
      <c r="V83"/>
      <c r="W83"/>
      <c r="X83"/>
      <c r="Y83"/>
      <c r="Z83"/>
      <c r="AA83"/>
      <c r="AB83"/>
      <c r="AC83"/>
      <c r="AD83"/>
      <c r="AE83"/>
      <c r="AF83"/>
      <c r="AG83"/>
      <c r="AH83"/>
      <c r="AI83"/>
      <c r="AJ83"/>
      <c r="AK83"/>
    </row>
    <row r="84" spans="18:37" ht="15" customHeight="1" x14ac:dyDescent="0.25">
      <c r="R84"/>
      <c r="S84"/>
      <c r="T84"/>
      <c r="U84"/>
      <c r="V84"/>
      <c r="W84"/>
      <c r="X84"/>
      <c r="Y84"/>
      <c r="Z84"/>
      <c r="AA84"/>
      <c r="AB84"/>
      <c r="AC84"/>
      <c r="AD84"/>
      <c r="AE84"/>
      <c r="AF84"/>
      <c r="AG84"/>
      <c r="AH84"/>
      <c r="AI84"/>
      <c r="AJ84"/>
      <c r="AK84"/>
    </row>
    <row r="85" spans="18:37" ht="15" customHeight="1" x14ac:dyDescent="0.25">
      <c r="R85"/>
      <c r="S85"/>
      <c r="T85"/>
      <c r="U85"/>
      <c r="V85"/>
      <c r="W85"/>
      <c r="X85"/>
      <c r="Y85"/>
      <c r="Z85"/>
      <c r="AA85"/>
      <c r="AB85"/>
      <c r="AC85"/>
      <c r="AD85"/>
      <c r="AE85"/>
      <c r="AF85"/>
      <c r="AG85"/>
      <c r="AH85"/>
      <c r="AI85"/>
      <c r="AJ85"/>
      <c r="AK85"/>
    </row>
    <row r="86" spans="18:37" ht="15" customHeight="1" x14ac:dyDescent="0.25">
      <c r="R86"/>
      <c r="S86"/>
      <c r="T86"/>
      <c r="U86"/>
      <c r="V86"/>
      <c r="W86"/>
      <c r="X86"/>
      <c r="Y86"/>
      <c r="Z86"/>
      <c r="AA86"/>
      <c r="AB86"/>
      <c r="AC86"/>
      <c r="AD86"/>
      <c r="AE86"/>
      <c r="AF86"/>
      <c r="AG86"/>
      <c r="AH86"/>
      <c r="AI86"/>
      <c r="AJ86"/>
      <c r="AK86"/>
    </row>
    <row r="87" spans="18:37" ht="15" customHeight="1" x14ac:dyDescent="0.25">
      <c r="R87"/>
      <c r="S87"/>
      <c r="T87"/>
      <c r="U87"/>
      <c r="V87"/>
      <c r="W87"/>
      <c r="X87"/>
      <c r="Y87"/>
      <c r="Z87"/>
      <c r="AA87"/>
      <c r="AB87"/>
      <c r="AC87"/>
      <c r="AD87"/>
      <c r="AE87"/>
      <c r="AF87"/>
      <c r="AG87"/>
      <c r="AH87"/>
      <c r="AI87"/>
      <c r="AJ87"/>
      <c r="AK87"/>
    </row>
    <row r="88" spans="18:37" ht="15" customHeight="1" x14ac:dyDescent="0.25">
      <c r="R88"/>
      <c r="S88"/>
      <c r="T88"/>
      <c r="U88"/>
      <c r="V88"/>
      <c r="W88"/>
      <c r="X88"/>
      <c r="Y88"/>
      <c r="Z88"/>
      <c r="AA88"/>
      <c r="AB88"/>
      <c r="AC88"/>
      <c r="AD88"/>
      <c r="AE88"/>
      <c r="AF88"/>
      <c r="AG88"/>
      <c r="AH88"/>
      <c r="AI88"/>
      <c r="AJ88"/>
      <c r="AK88"/>
    </row>
    <row r="89" spans="18:37" ht="15" customHeight="1" x14ac:dyDescent="0.25">
      <c r="R89"/>
      <c r="S89"/>
      <c r="T89"/>
      <c r="U89"/>
      <c r="V89"/>
      <c r="W89"/>
      <c r="X89"/>
      <c r="Y89"/>
      <c r="Z89"/>
      <c r="AA89"/>
      <c r="AB89"/>
      <c r="AC89"/>
      <c r="AD89"/>
      <c r="AE89"/>
      <c r="AF89"/>
      <c r="AG89"/>
      <c r="AH89"/>
      <c r="AI89"/>
      <c r="AJ89"/>
      <c r="AK89"/>
    </row>
  </sheetData>
  <sheetProtection sheet="1" objects="1" scenarios="1" formatCells="0" formatColumns="0" formatRows="0" insertColumns="0" insertRows="0"/>
  <mergeCells count="66">
    <mergeCell ref="AM3:AM4"/>
    <mergeCell ref="AN3:AN4"/>
    <mergeCell ref="B4:D4"/>
    <mergeCell ref="B16:D16"/>
    <mergeCell ref="B10:D10"/>
    <mergeCell ref="B12:D12"/>
    <mergeCell ref="B13:D13"/>
    <mergeCell ref="B14:D14"/>
    <mergeCell ref="B5:D5"/>
    <mergeCell ref="B7:D7"/>
    <mergeCell ref="B8:D8"/>
    <mergeCell ref="B9:D9"/>
    <mergeCell ref="B11:D11"/>
    <mergeCell ref="B15:D15"/>
    <mergeCell ref="B25:D25"/>
    <mergeCell ref="B26:D26"/>
    <mergeCell ref="B30:D30"/>
    <mergeCell ref="B31:D31"/>
    <mergeCell ref="B32:D32"/>
    <mergeCell ref="B17:D17"/>
    <mergeCell ref="B20:D20"/>
    <mergeCell ref="B21:D21"/>
    <mergeCell ref="B22:D22"/>
    <mergeCell ref="B24:D24"/>
    <mergeCell ref="B18:D18"/>
    <mergeCell ref="B19:D19"/>
    <mergeCell ref="B42:D42"/>
    <mergeCell ref="B43:D43"/>
    <mergeCell ref="B74:F74"/>
    <mergeCell ref="B75:F75"/>
    <mergeCell ref="B65:C65"/>
    <mergeCell ref="B66:C66"/>
    <mergeCell ref="B68:F68"/>
    <mergeCell ref="B69:F69"/>
    <mergeCell ref="B70:F70"/>
    <mergeCell ref="B71:F71"/>
    <mergeCell ref="B58:F58"/>
    <mergeCell ref="B59:F59"/>
    <mergeCell ref="B60:F60"/>
    <mergeCell ref="B72:F72"/>
    <mergeCell ref="B73:F73"/>
    <mergeCell ref="B44:D44"/>
    <mergeCell ref="B34:D34"/>
    <mergeCell ref="B35:D35"/>
    <mergeCell ref="B36:D36"/>
    <mergeCell ref="B37:D37"/>
    <mergeCell ref="B41:D41"/>
    <mergeCell ref="B38:D38"/>
    <mergeCell ref="B39:D39"/>
    <mergeCell ref="B40:D40"/>
    <mergeCell ref="B1:AN1"/>
    <mergeCell ref="B61:F61"/>
    <mergeCell ref="B62:F62"/>
    <mergeCell ref="B64:F64"/>
    <mergeCell ref="B57:F57"/>
    <mergeCell ref="B45:D45"/>
    <mergeCell ref="B46:D46"/>
    <mergeCell ref="B52:C52"/>
    <mergeCell ref="B53:C53"/>
    <mergeCell ref="B54:F54"/>
    <mergeCell ref="B55:F55"/>
    <mergeCell ref="B56:F56"/>
    <mergeCell ref="B47:D47"/>
    <mergeCell ref="B48:D48"/>
    <mergeCell ref="B51:F51"/>
    <mergeCell ref="B33:D33"/>
  </mergeCells>
  <phoneticPr fontId="75" type="noConversion"/>
  <conditionalFormatting sqref="E27">
    <cfRule type="cellIs" dxfId="5" priority="3" operator="equal">
      <formula>"Error"</formula>
    </cfRule>
    <cfRule type="cellIs" dxfId="4" priority="4" operator="equal">
      <formula>"OK"</formula>
    </cfRule>
  </conditionalFormatting>
  <conditionalFormatting sqref="E49">
    <cfRule type="cellIs" dxfId="3" priority="1" operator="equal">
      <formula>"Error"</formula>
    </cfRule>
    <cfRule type="cellIs" dxfId="2" priority="2" operator="equal">
      <formula>"OK"</formula>
    </cfRule>
  </conditionalFormatting>
  <pageMargins left="0.7" right="0.7" top="0.75" bottom="0.75" header="0.3" footer="0.3"/>
  <pageSetup scale="35" orientation="landscape" r:id="rId1"/>
  <headerFooter>
    <oddFooter>&amp;L&amp;F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c e e 3 e 4 c e - 7 e 8 3 - 4 3 1 0 - 9 0 2 0 - e 7 6 8 1 d c 0 4 b 8 3 "   x m l n s = " h t t p : / / s c h e m a s . m i c r o s o f t . c o m / D a t a M a s h u p " > A A A A A B Q D A A B Q S w M E F A A C A A g A L 2 3 N V A N 4 j Q + k A A A A 9 g A A A B I A H A B D b 2 5 m a W c v U G F j a 2 F n Z S 5 4 b W w g o h g A K K A U A A A A A A A A A A A A A A A A A A A A A A A A A A A A h Y 8 x D o I w G I W v Q r r T l q K J I a U M r p K Y E I 1 r U y o 0 w o + h x X I 3 B 4 / k F c Q o 6 u b 4 v v c N 7 9 2 v N 5 6 N b R N c d G 9 N B y m K M E W B B t W V B q o U D e 4 Y r l A m + F a q k 6 x 0 M M l g k 9 G W K a q d O y e E e O + x j 3 H X V 4 R R G p F D v i l U r V u J P r L 5 L 4 c G r J O g N B J 8 / x o j G I 7 o E s c L h i k n M + S 5 g a / A p r 3 P 9 g f y 9 d C 4 o d d C Q 7 g r O J k j J + 8 P 4 g F Q S w M E F A A C A A g A L 2 3 N 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9 t z V Q o i k e 4 D g A A A B E A A A A T A B w A R m 9 y b X V s Y X M v U 2 V j d G l v b j E u b S C i G A A o o B Q A A A A A A A A A A A A A A A A A A A A A A A A A A A A r T k 0 u y c z P U w i G 0 I b W A F B L A Q I t A B Q A A g A I A C 9 t z V Q D e I 0 P p A A A A P Y A A A A S A A A A A A A A A A A A A A A A A A A A A A B D b 2 5 m a W c v U G F j a 2 F n Z S 5 4 b W x Q S w E C L Q A U A A I A C A A v b c 1 U D 8 r p q 6 Q A A A D p A A A A E w A A A A A A A A A A A A A A A A D w A A A A W 0 N v b n R l b n R f V H l w Z X N d L n h t b F B L A Q I t A B Q A A g A I A C 9 t z V 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5 8 I t 4 Q D B z S b c x x N w 9 x N l t A A A A A A I A A A A A A A N m A A D A A A A A E A A A A K u S o u P C 9 S e M S 8 / c Y x H d j U o A A A A A B I A A A K A A A A A Q A A A A V a z 5 m + I 0 N N 0 E F H J 9 r f J K 8 l A A A A B 0 1 Q + R S L 1 Z g c z Q L L W j R X D m 9 8 A D b 0 u / N h + G O v z l 3 m N 5 u T E W m 2 z s l 2 V R 8 t f k i w c O J x N c W Z I 3 k n g 4 B d P F Z c f B Z w 2 a 8 b P X q A V m 8 v S w Z h X t E 2 T q z x Q A A A B f r 6 k i M p g F O J N 2 s D + 7 a n F s L a b r E g = = < / D a t a M a s h u p > 
</file>

<file path=customXml/itemProps1.xml><?xml version="1.0" encoding="utf-8"?>
<ds:datastoreItem xmlns:ds="http://schemas.openxmlformats.org/officeDocument/2006/customXml" ds:itemID="{43AD7AD9-1D1B-4B51-9976-8BDF0384756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12</vt:i4>
      </vt:variant>
    </vt:vector>
  </HeadingPairs>
  <TitlesOfParts>
    <vt:vector size="31" baseType="lpstr">
      <vt:lpstr>Change Log</vt:lpstr>
      <vt:lpstr>Summary</vt:lpstr>
      <vt:lpstr>Housing Income</vt:lpstr>
      <vt:lpstr>Inc &amp; Exp</vt:lpstr>
      <vt:lpstr>Dev Costs</vt:lpstr>
      <vt:lpstr>Sources &amp; Loan Sizing</vt:lpstr>
      <vt:lpstr>Cash Flow</vt:lpstr>
      <vt:lpstr>Refi Analysis</vt:lpstr>
      <vt:lpstr>Draw Schedule</vt:lpstr>
      <vt:lpstr>Reserves</vt:lpstr>
      <vt:lpstr>Stress Test</vt:lpstr>
      <vt:lpstr>Predevelopment</vt:lpstr>
      <vt:lpstr>Sponsor Financials</vt:lpstr>
      <vt:lpstr>Amortization Schedule</vt:lpstr>
      <vt:lpstr>CMF Input Sheet</vt:lpstr>
      <vt:lpstr>Mail Merge</vt:lpstr>
      <vt:lpstr>Comparison</vt:lpstr>
      <vt:lpstr>Lists</vt:lpstr>
      <vt:lpstr>MTSP2025</vt:lpstr>
      <vt:lpstr>'Cash Flow'!Print_Area</vt:lpstr>
      <vt:lpstr>'Dev Costs'!Print_Area</vt:lpstr>
      <vt:lpstr>'Draw Schedule'!Print_Area</vt:lpstr>
      <vt:lpstr>'Housing Income'!Print_Area</vt:lpstr>
      <vt:lpstr>'Inc &amp; Exp'!Print_Area</vt:lpstr>
      <vt:lpstr>Predevelopment!Print_Area</vt:lpstr>
      <vt:lpstr>'Refi Analysis'!Print_Area</vt:lpstr>
      <vt:lpstr>Reserves!Print_Area</vt:lpstr>
      <vt:lpstr>'Sources &amp; Loan Sizing'!Print_Area</vt:lpstr>
      <vt:lpstr>'Sponsor Financials'!Print_Area</vt:lpstr>
      <vt:lpstr>'Stress Test'!Print_Area</vt:lpstr>
      <vt:lpstr>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Rocker</dc:creator>
  <cp:lastModifiedBy>Alexis Lancaster</cp:lastModifiedBy>
  <cp:lastPrinted>2025-07-21T14:18:15Z</cp:lastPrinted>
  <dcterms:created xsi:type="dcterms:W3CDTF">2016-09-12T20:59:08Z</dcterms:created>
  <dcterms:modified xsi:type="dcterms:W3CDTF">2025-07-21T14:19:05Z</dcterms:modified>
</cp:coreProperties>
</file>